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eduardo\Desktop\Curso\Avaliação de Imóveis\Modulo 6\"/>
    </mc:Choice>
  </mc:AlternateContent>
  <xr:revisionPtr revIDLastSave="0" documentId="13_ncr:1_{018C75A3-0ACB-4B08-9A08-CF3F131B512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sumo" sheetId="1" r:id="rId1"/>
    <sheet name="Ft de área" sheetId="2" r:id="rId2"/>
    <sheet name="Ft Transposição" sheetId="4" r:id="rId3"/>
    <sheet name="Chauvenet" sheetId="6" r:id="rId4"/>
    <sheet name="Média" sheetId="7" r:id="rId5"/>
    <sheet name="Desvio Padrão" sheetId="8" r:id="rId6"/>
    <sheet name="checklist" sheetId="5" state="hidden" r:id="rId7"/>
  </sheets>
  <definedNames>
    <definedName name="_xlnm._FilterDatabase" localSheetId="1" hidden="1">'Ft de área'!$B$4:$L$20</definedName>
    <definedName name="_xlnm._FilterDatabase" localSheetId="2" hidden="1">'Ft Transposição'!$B$4:$C$20</definedName>
    <definedName name="_xlnm._FilterDatabase" localSheetId="0" hidden="1">Resumo!$B$4:$T$20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3" i="1" l="1"/>
  <c r="S11" i="1"/>
  <c r="F20" i="1" l="1"/>
  <c r="C6" i="4" l="1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5" i="4"/>
  <c r="A19" i="8" l="1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4" i="7"/>
  <c r="A5" i="7"/>
  <c r="A6" i="7"/>
  <c r="A7" i="7"/>
  <c r="A19" i="7"/>
  <c r="A18" i="7"/>
  <c r="A17" i="7"/>
  <c r="A16" i="7"/>
  <c r="A15" i="7"/>
  <c r="A14" i="7"/>
  <c r="A13" i="7"/>
  <c r="A12" i="7"/>
  <c r="A11" i="7"/>
  <c r="A10" i="7"/>
  <c r="A9" i="7"/>
  <c r="A8" i="7"/>
  <c r="A8" i="6" l="1"/>
  <c r="A5" i="6"/>
  <c r="A6" i="6"/>
  <c r="A7" i="6"/>
  <c r="A9" i="6"/>
  <c r="A10" i="6"/>
  <c r="A11" i="6"/>
  <c r="A12" i="6"/>
  <c r="A13" i="6"/>
  <c r="A14" i="6"/>
  <c r="A15" i="6"/>
  <c r="A16" i="6"/>
  <c r="A17" i="6"/>
  <c r="A18" i="6"/>
  <c r="A19" i="6"/>
  <c r="A4" i="6"/>
  <c r="N8" i="1"/>
  <c r="N12" i="1"/>
  <c r="N14" i="1"/>
  <c r="N16" i="1"/>
  <c r="N18" i="1"/>
  <c r="N19" i="1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6" i="2"/>
  <c r="C6" i="2" s="1"/>
  <c r="D6" i="2" s="1"/>
  <c r="B7" i="2"/>
  <c r="C7" i="2" s="1"/>
  <c r="D7" i="2" s="1"/>
  <c r="B8" i="2"/>
  <c r="C8" i="2" s="1"/>
  <c r="D8" i="2" s="1"/>
  <c r="B9" i="2"/>
  <c r="B10" i="2"/>
  <c r="C10" i="2" s="1"/>
  <c r="D10" i="2" s="1"/>
  <c r="L10" i="1" s="1"/>
  <c r="B11" i="2"/>
  <c r="C11" i="2" s="1"/>
  <c r="D11" i="2" s="1"/>
  <c r="L11" i="1" s="1"/>
  <c r="B12" i="2"/>
  <c r="C12" i="2" s="1"/>
  <c r="D12" i="2" s="1"/>
  <c r="L12" i="1" s="1"/>
  <c r="B13" i="2"/>
  <c r="B14" i="2"/>
  <c r="C14" i="2" s="1"/>
  <c r="D14" i="2" s="1"/>
  <c r="L14" i="1" s="1"/>
  <c r="B15" i="2"/>
  <c r="C15" i="2" s="1"/>
  <c r="D15" i="2" s="1"/>
  <c r="L15" i="1" s="1"/>
  <c r="B16" i="2"/>
  <c r="C16" i="2" s="1"/>
  <c r="D16" i="2" s="1"/>
  <c r="L16" i="1" s="1"/>
  <c r="B17" i="2"/>
  <c r="B18" i="2"/>
  <c r="C18" i="2" s="1"/>
  <c r="D18" i="2" s="1"/>
  <c r="B19" i="2"/>
  <c r="C19" i="2" s="1"/>
  <c r="D19" i="2" s="1"/>
  <c r="L19" i="1" s="1"/>
  <c r="B20" i="2"/>
  <c r="C20" i="2" s="1"/>
  <c r="D20" i="2" s="1"/>
  <c r="B5" i="2"/>
  <c r="F15" i="1"/>
  <c r="F16" i="1"/>
  <c r="F17" i="1"/>
  <c r="F18" i="1"/>
  <c r="F19" i="1"/>
  <c r="D20" i="4"/>
  <c r="F6" i="1"/>
  <c r="F7" i="1"/>
  <c r="F8" i="1"/>
  <c r="F9" i="1"/>
  <c r="F10" i="1"/>
  <c r="F11" i="1"/>
  <c r="F12" i="1"/>
  <c r="F13" i="1"/>
  <c r="F14" i="1"/>
  <c r="F5" i="1"/>
  <c r="O16" i="1" l="1"/>
  <c r="L7" i="1"/>
  <c r="O15" i="1"/>
  <c r="L18" i="1"/>
  <c r="O18" i="1" s="1"/>
  <c r="B17" i="7" s="1"/>
  <c r="L6" i="1"/>
  <c r="O6" i="1" s="1"/>
  <c r="O11" i="1"/>
  <c r="O14" i="1"/>
  <c r="O10" i="1"/>
  <c r="L20" i="1"/>
  <c r="O20" i="1" s="1"/>
  <c r="L8" i="1"/>
  <c r="O8" i="1" s="1"/>
  <c r="B7" i="7" s="1"/>
  <c r="O12" i="1"/>
  <c r="O19" i="1"/>
  <c r="D13" i="4"/>
  <c r="D9" i="4"/>
  <c r="D16" i="4"/>
  <c r="D12" i="4"/>
  <c r="D8" i="4"/>
  <c r="D19" i="4"/>
  <c r="D15" i="4"/>
  <c r="D11" i="4"/>
  <c r="D7" i="4"/>
  <c r="D18" i="4"/>
  <c r="D14" i="4"/>
  <c r="D10" i="4"/>
  <c r="D6" i="4"/>
  <c r="D17" i="4"/>
  <c r="D5" i="4"/>
  <c r="C17" i="2"/>
  <c r="D17" i="2" s="1"/>
  <c r="C13" i="2"/>
  <c r="D13" i="2" s="1"/>
  <c r="C9" i="2"/>
  <c r="D9" i="2" s="1"/>
  <c r="C5" i="2"/>
  <c r="D5" i="2" s="1"/>
  <c r="L5" i="1" s="1"/>
  <c r="H5" i="4" l="1"/>
  <c r="H10" i="4" s="1"/>
  <c r="L17" i="1"/>
  <c r="O17" i="1" s="1"/>
  <c r="B16" i="8" s="1"/>
  <c r="B17" i="6"/>
  <c r="O7" i="1"/>
  <c r="B6" i="7" s="1"/>
  <c r="L9" i="1"/>
  <c r="O9" i="1" s="1"/>
  <c r="B8" i="7" s="1"/>
  <c r="B17" i="8"/>
  <c r="L13" i="1"/>
  <c r="O13" i="1" s="1"/>
  <c r="B12" i="6" s="1"/>
  <c r="B7" i="6"/>
  <c r="B5" i="7"/>
  <c r="B5" i="6"/>
  <c r="B5" i="8"/>
  <c r="B6" i="8"/>
  <c r="B11" i="6"/>
  <c r="B18" i="7"/>
  <c r="B6" i="6"/>
  <c r="B7" i="8"/>
  <c r="O5" i="1"/>
  <c r="B15" i="7"/>
  <c r="B15" i="8"/>
  <c r="B15" i="6"/>
  <c r="B13" i="7"/>
  <c r="B13" i="8"/>
  <c r="B13" i="6"/>
  <c r="B11" i="8"/>
  <c r="B11" i="7"/>
  <c r="B12" i="8"/>
  <c r="B10" i="7"/>
  <c r="B10" i="8"/>
  <c r="B10" i="6"/>
  <c r="B19" i="8"/>
  <c r="B19" i="7"/>
  <c r="B19" i="6"/>
  <c r="B9" i="7"/>
  <c r="B9" i="8"/>
  <c r="B9" i="6"/>
  <c r="H12" i="4"/>
  <c r="B12" i="7" l="1"/>
  <c r="B8" i="6"/>
  <c r="B16" i="6"/>
  <c r="B16" i="7"/>
  <c r="B8" i="8"/>
  <c r="B18" i="6"/>
  <c r="B18" i="8"/>
  <c r="B14" i="8"/>
  <c r="R9" i="1"/>
  <c r="B4" i="6"/>
  <c r="B4" i="8"/>
  <c r="B4" i="7"/>
  <c r="B20" i="8" l="1"/>
  <c r="C9" i="8" s="1"/>
  <c r="O21" i="1"/>
  <c r="R7" i="1" s="1"/>
  <c r="R13" i="1" s="1"/>
  <c r="B14" i="6"/>
  <c r="B14" i="7"/>
  <c r="B20" i="7" s="1"/>
  <c r="R8" i="1"/>
  <c r="R10" i="1"/>
  <c r="H3" i="8"/>
  <c r="C7" i="8" l="1"/>
  <c r="D8" i="8"/>
  <c r="C16" i="8"/>
  <c r="C18" i="8"/>
  <c r="C15" i="8"/>
  <c r="C13" i="8"/>
  <c r="C11" i="8"/>
  <c r="C5" i="8"/>
  <c r="C12" i="8"/>
  <c r="C14" i="8"/>
  <c r="C8" i="8"/>
  <c r="C10" i="8"/>
  <c r="C4" i="8"/>
  <c r="C6" i="8"/>
  <c r="C19" i="8"/>
  <c r="C17" i="8"/>
  <c r="R11" i="1"/>
  <c r="F3" i="7"/>
  <c r="F4" i="7"/>
  <c r="B20" i="6"/>
  <c r="D17" i="8"/>
  <c r="D9" i="8"/>
  <c r="R12" i="1"/>
  <c r="R14" i="1" s="1"/>
  <c r="H3" i="6"/>
  <c r="D13" i="8"/>
  <c r="D11" i="8"/>
  <c r="H4" i="8"/>
  <c r="B22" i="8" s="1"/>
  <c r="D4" i="8"/>
  <c r="D5" i="8"/>
  <c r="D16" i="8"/>
  <c r="D10" i="8"/>
  <c r="D18" i="8"/>
  <c r="D7" i="8"/>
  <c r="D15" i="8"/>
  <c r="D19" i="8"/>
  <c r="D12" i="8"/>
  <c r="D6" i="8"/>
  <c r="D14" i="8"/>
  <c r="B21" i="8"/>
  <c r="C4" i="6" l="1"/>
  <c r="C18" i="6"/>
  <c r="D9" i="6"/>
  <c r="C11" i="6"/>
  <c r="D6" i="6"/>
  <c r="D18" i="6"/>
  <c r="D8" i="6"/>
  <c r="D13" i="6"/>
  <c r="C7" i="6"/>
  <c r="D10" i="6"/>
  <c r="C8" i="6"/>
  <c r="D5" i="6"/>
  <c r="C13" i="6"/>
  <c r="D17" i="6"/>
  <c r="C17" i="6"/>
  <c r="C16" i="6"/>
  <c r="C6" i="6"/>
  <c r="D11" i="6"/>
  <c r="C15" i="6"/>
  <c r="C12" i="6"/>
  <c r="D12" i="6"/>
  <c r="C19" i="6"/>
  <c r="C10" i="6"/>
  <c r="D4" i="6"/>
  <c r="C5" i="6"/>
  <c r="D16" i="6"/>
  <c r="D7" i="6"/>
  <c r="D19" i="6"/>
  <c r="C9" i="6"/>
  <c r="D15" i="6"/>
  <c r="C14" i="6"/>
  <c r="D14" i="6"/>
</calcChain>
</file>

<file path=xl/sharedStrings.xml><?xml version="1.0" encoding="utf-8"?>
<sst xmlns="http://schemas.openxmlformats.org/spreadsheetml/2006/main" count="175" uniqueCount="76">
  <si>
    <t>Tipo:</t>
  </si>
  <si>
    <t>Lote</t>
  </si>
  <si>
    <t>Topografia:</t>
  </si>
  <si>
    <t>plano</t>
  </si>
  <si>
    <t>Área (m²):</t>
  </si>
  <si>
    <t>B</t>
  </si>
  <si>
    <t>Plano</t>
  </si>
  <si>
    <t>Nº Pesquisa</t>
  </si>
  <si>
    <t>Valor (R$)</t>
  </si>
  <si>
    <t>Área (m²)</t>
  </si>
  <si>
    <t>Topografia</t>
  </si>
  <si>
    <t>aclive/declive</t>
  </si>
  <si>
    <t>VU (R$/m²)</t>
  </si>
  <si>
    <t>A</t>
  </si>
  <si>
    <t>C</t>
  </si>
  <si>
    <t>Foferta</t>
  </si>
  <si>
    <t>Fárea</t>
  </si>
  <si>
    <t>Localização:</t>
  </si>
  <si>
    <t>Informante</t>
  </si>
  <si>
    <t>Contato:</t>
  </si>
  <si>
    <t>XXXXXXX</t>
  </si>
  <si>
    <t>Área Amostras:</t>
  </si>
  <si>
    <t>INFERIOR</t>
  </si>
  <si>
    <t>^0,25</t>
  </si>
  <si>
    <t>SUPERIOR</t>
  </si>
  <si>
    <t>amostra ÷ avaliando</t>
  </si>
  <si>
    <t>^0,125</t>
  </si>
  <si>
    <t>Ftransposição</t>
  </si>
  <si>
    <t>1 - PLANTA DE VALORES GENÉRICOS</t>
  </si>
  <si>
    <t>2 - OPINIÃO DE ESPECIALISTAS E CORRETORES</t>
  </si>
  <si>
    <t>3 - AFERIR NA PRÓPRIA PESQUISA</t>
  </si>
  <si>
    <t>MÉDIAS</t>
  </si>
  <si>
    <t>LOC A</t>
  </si>
  <si>
    <t>LOC B</t>
  </si>
  <si>
    <t>LOC C</t>
  </si>
  <si>
    <t>VALOR (R$)</t>
  </si>
  <si>
    <t>LOCALIZAÇÃO</t>
  </si>
  <si>
    <t>VU homogeneizado (R$/m²)</t>
  </si>
  <si>
    <t>VALOR FINAL</t>
  </si>
  <si>
    <t>TODOS OS FATORES POSSUEM FUNDAMENTO?</t>
  </si>
  <si>
    <t>TIPO DE PESQUISA</t>
  </si>
  <si>
    <t>Oferta</t>
  </si>
  <si>
    <t>Transação</t>
  </si>
  <si>
    <t>n</t>
  </si>
  <si>
    <t>média</t>
  </si>
  <si>
    <t>Xi</t>
  </si>
  <si>
    <t>(Xi-média)^2</t>
  </si>
  <si>
    <t>DESVIO PADRÃO</t>
  </si>
  <si>
    <t>r = (Xi - média)/D.padrão</t>
  </si>
  <si>
    <t>ALGUM FATOR RELEVANTE FOI DESCONSIDERADO?</t>
  </si>
  <si>
    <t>FOI REALIZADO O SANEAMENTO?</t>
  </si>
  <si>
    <t>OS FATORES ESTÃO ENTRE 0,5 E 2,0?</t>
  </si>
  <si>
    <t>sim</t>
  </si>
  <si>
    <t>não</t>
  </si>
  <si>
    <t>n/a</t>
  </si>
  <si>
    <t>Intervalo de 30% acima</t>
  </si>
  <si>
    <t>2 DESVIOS PADRÃO</t>
  </si>
  <si>
    <t>FOI REALIZADO O TESTE DE HETEROGEINIZAÇÃO?</t>
  </si>
  <si>
    <t>POSSUI MAIS QUE 03 DADOS?</t>
  </si>
  <si>
    <t>INTERVALO ADMÍSSIVEL DE AJUSTE PARA O CONJUNTO DE FATORES FOI ANALISADO?</t>
  </si>
  <si>
    <t>N. Amostras</t>
  </si>
  <si>
    <t>Média Aritmética (MA) =</t>
  </si>
  <si>
    <t>Amplitude da amostra (AA) =</t>
  </si>
  <si>
    <t>T.Tabelado</t>
  </si>
  <si>
    <t>Desvio Padrão (DP) =</t>
  </si>
  <si>
    <t>Limite Superior (LS = MA + 2* DP) =</t>
  </si>
  <si>
    <t>Grau de Liberdade</t>
  </si>
  <si>
    <t>Limite Inferior (LI = MA -2* DP) =</t>
  </si>
  <si>
    <t>Limite Superior Intervalo de Confinça (80%)</t>
  </si>
  <si>
    <t>Limite Inferior do Intervalo de Confinça (80%)</t>
  </si>
  <si>
    <t>Raiz de n</t>
  </si>
  <si>
    <t>TABELA DE DISTRIBUIÇÃO t STUDENT</t>
  </si>
  <si>
    <t>Precisão</t>
  </si>
  <si>
    <t>III</t>
  </si>
  <si>
    <t>Exemplo considerando saneamento por desvio padrão</t>
  </si>
  <si>
    <t>Ftopografia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</si>
</sst>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0.0"/>
    <numFmt numFmtId="165" formatCode="0.000"/>
    <numFmt numFmtId="166" formatCode="_-&quot;R$&quot;\ * #,##0.00_-;\-&quot;R$&quot;\ * #,##0.00_-;_-&quot;R$&quot;\ * &quot;-&quot;???_-;_-@_-"/>
    <numFmt numFmtId="167" formatCode="_-&quot;R$&quot;\ * #,##0.000_-;\-&quot;R$&quot;\ * #,##0.000_-;_-&quot;R$&quot;\ * &quot;-&quot;??_-;_-@_-"/>
    <numFmt numFmtId="168" formatCode="_-&quot;R$&quot;\ * #,##0.000_-;\-&quot;R$&quot;\ * #,##0.000_-;_-&quot;R$&quot;\ * &quot;-&quot;?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0" borderId="1" xfId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/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3" fillId="0" borderId="0" xfId="2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44" fontId="0" fillId="0" borderId="0" xfId="1" applyFont="1"/>
    <xf numFmtId="0" fontId="0" fillId="0" borderId="1" xfId="0" applyBorder="1" applyAlignment="1">
      <alignment horizontal="left"/>
    </xf>
    <xf numFmtId="4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6" fontId="6" fillId="2" borderId="1" xfId="0" applyNumberFormat="1" applyFont="1" applyFill="1" applyBorder="1"/>
    <xf numFmtId="44" fontId="2" fillId="2" borderId="1" xfId="1" applyFont="1" applyFill="1" applyBorder="1"/>
    <xf numFmtId="44" fontId="7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8" fillId="0" borderId="0" xfId="0" applyFont="1"/>
    <xf numFmtId="44" fontId="0" fillId="0" borderId="1" xfId="0" applyNumberFormat="1" applyBorder="1"/>
    <xf numFmtId="44" fontId="0" fillId="0" borderId="0" xfId="0" applyNumberFormat="1"/>
    <xf numFmtId="9" fontId="0" fillId="0" borderId="0" xfId="4" applyFont="1"/>
    <xf numFmtId="0" fontId="1" fillId="0" borderId="1" xfId="3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0" fontId="1" fillId="0" borderId="1" xfId="3" applyFont="1" applyBorder="1" applyAlignment="1">
      <alignment horizontal="right" vertical="center"/>
    </xf>
    <xf numFmtId="44" fontId="1" fillId="0" borderId="1" xfId="1" applyFont="1" applyFill="1" applyBorder="1" applyAlignment="1">
      <alignment horizontal="center" vertical="center"/>
    </xf>
    <xf numFmtId="167" fontId="1" fillId="0" borderId="1" xfId="1" applyNumberFormat="1" applyFont="1" applyFill="1" applyBorder="1" applyAlignment="1">
      <alignment horizontal="center" vertical="center"/>
    </xf>
    <xf numFmtId="165" fontId="1" fillId="0" borderId="1" xfId="3" applyNumberFormat="1" applyFont="1" applyBorder="1" applyAlignment="1">
      <alignment horizontal="right" vertical="center"/>
    </xf>
    <xf numFmtId="2" fontId="1" fillId="0" borderId="1" xfId="3" applyNumberFormat="1" applyFont="1" applyBorder="1" applyAlignment="1">
      <alignment horizontal="right" vertical="center"/>
    </xf>
    <xf numFmtId="168" fontId="0" fillId="0" borderId="0" xfId="0" applyNumberFormat="1"/>
    <xf numFmtId="0" fontId="0" fillId="0" borderId="1" xfId="3" applyFont="1" applyBorder="1" applyAlignment="1">
      <alignment horizontal="right" vertical="center"/>
    </xf>
    <xf numFmtId="44" fontId="0" fillId="2" borderId="1" xfId="1" applyNumberFormat="1" applyFont="1" applyFill="1" applyBorder="1" applyAlignment="1">
      <alignment horizontal="center"/>
    </xf>
    <xf numFmtId="0" fontId="1" fillId="0" borderId="1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9" fontId="2" fillId="0" borderId="1" xfId="4" applyFont="1" applyFill="1" applyBorder="1" applyAlignment="1">
      <alignment horizontal="center" vertical="center"/>
    </xf>
    <xf numFmtId="2" fontId="0" fillId="0" borderId="1" xfId="3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center"/>
    </xf>
    <xf numFmtId="166" fontId="5" fillId="4" borderId="1" xfId="0" applyNumberFormat="1" applyFont="1" applyFill="1" applyBorder="1"/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</cellXfs>
  <cellStyles count="5">
    <cellStyle name="Hiperlink" xfId="2" builtinId="8"/>
    <cellStyle name="Moeda" xfId="1" builtinId="4"/>
    <cellStyle name="Normal" xfId="0" builtinId="0"/>
    <cellStyle name="Normal 2" xfId="3" xr:uid="{00000000-0005-0000-0000-000003000000}"/>
    <cellStyle name="Porcentagem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33228</xdr:colOff>
      <xdr:row>3</xdr:row>
      <xdr:rowOff>121830</xdr:rowOff>
    </xdr:from>
    <xdr:to>
      <xdr:col>28</xdr:col>
      <xdr:colOff>553781</xdr:colOff>
      <xdr:row>24</xdr:row>
      <xdr:rowOff>179263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6746" t="12265" r="7969" b="24439"/>
        <a:stretch/>
      </xdr:blipFill>
      <xdr:spPr>
        <a:xfrm>
          <a:off x="22461280" y="819592"/>
          <a:ext cx="3566338" cy="5019293"/>
        </a:xfrm>
        <a:prstGeom prst="rect">
          <a:avLst/>
        </a:prstGeom>
      </xdr:spPr>
    </xdr:pic>
    <xdr:clientData/>
  </xdr:twoCellAnchor>
  <xdr:twoCellAnchor>
    <xdr:from>
      <xdr:col>24</xdr:col>
      <xdr:colOff>487325</xdr:colOff>
      <xdr:row>5</xdr:row>
      <xdr:rowOff>110756</xdr:rowOff>
    </xdr:from>
    <xdr:to>
      <xdr:col>25</xdr:col>
      <xdr:colOff>332267</xdr:colOff>
      <xdr:row>6</xdr:row>
      <xdr:rowOff>121832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524534" y="1351221"/>
          <a:ext cx="454099" cy="24366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24</xdr:col>
      <xdr:colOff>562197</xdr:colOff>
      <xdr:row>15</xdr:row>
      <xdr:rowOff>41646</xdr:rowOff>
    </xdr:from>
    <xdr:to>
      <xdr:col>25</xdr:col>
      <xdr:colOff>343344</xdr:colOff>
      <xdr:row>15</xdr:row>
      <xdr:rowOff>143984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599406" y="3607983"/>
          <a:ext cx="390304" cy="10233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2</xdr:row>
      <xdr:rowOff>76200</xdr:rowOff>
    </xdr:from>
    <xdr:to>
      <xdr:col>13</xdr:col>
      <xdr:colOff>561975</xdr:colOff>
      <xdr:row>13</xdr:row>
      <xdr:rowOff>92537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797" t="35941" r="27956" b="23689"/>
        <a:stretch/>
      </xdr:blipFill>
      <xdr:spPr>
        <a:xfrm>
          <a:off x="5362575" y="457200"/>
          <a:ext cx="4210050" cy="211183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467746</xdr:colOff>
      <xdr:row>3</xdr:row>
      <xdr:rowOff>102053</xdr:rowOff>
    </xdr:from>
    <xdr:to>
      <xdr:col>6</xdr:col>
      <xdr:colOff>1437254</xdr:colOff>
      <xdr:row>6</xdr:row>
      <xdr:rowOff>102616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4478" t="36942" r="45978" b="52999"/>
        <a:stretch/>
      </xdr:blipFill>
      <xdr:spPr>
        <a:xfrm>
          <a:off x="5978639" y="663348"/>
          <a:ext cx="969508" cy="56185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5</xdr:col>
      <xdr:colOff>459241</xdr:colOff>
      <xdr:row>7</xdr:row>
      <xdr:rowOff>59531</xdr:rowOff>
    </xdr:from>
    <xdr:to>
      <xdr:col>8</xdr:col>
      <xdr:colOff>272142</xdr:colOff>
      <xdr:row>17</xdr:row>
      <xdr:rowOff>153080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790" t="35639" r="62031" b="36391"/>
        <a:stretch/>
      </xdr:blipFill>
      <xdr:spPr>
        <a:xfrm>
          <a:off x="5357812" y="1369219"/>
          <a:ext cx="2474799" cy="196453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21"/>
  <sheetViews>
    <sheetView tabSelected="1" topLeftCell="C1" zoomScale="86" zoomScaleNormal="86" workbookViewId="0">
      <selection activeCell="C15" sqref="A15:XFD15"/>
    </sheetView>
  </sheetViews>
  <sheetFormatPr defaultRowHeight="18" customHeight="1" x14ac:dyDescent="0.25"/>
  <cols>
    <col min="1" max="1" width="2.7109375" customWidth="1"/>
    <col min="2" max="2" width="12.28515625" customWidth="1"/>
    <col min="3" max="3" width="14.85546875" bestFit="1" customWidth="1"/>
    <col min="4" max="4" width="14.7109375" style="2" bestFit="1" customWidth="1"/>
    <col min="5" max="5" width="19" customWidth="1"/>
    <col min="6" max="6" width="15.7109375" customWidth="1"/>
    <col min="7" max="7" width="13.85546875" customWidth="1"/>
    <col min="8" max="8" width="18.5703125" bestFit="1" customWidth="1"/>
    <col min="9" max="9" width="14.5703125" customWidth="1"/>
    <col min="10" max="10" width="16.5703125" customWidth="1"/>
    <col min="11" max="11" width="13" bestFit="1" customWidth="1"/>
    <col min="12" max="12" width="11.5703125" bestFit="1" customWidth="1"/>
    <col min="13" max="13" width="17.28515625" bestFit="1" customWidth="1"/>
    <col min="14" max="14" width="19.5703125" bestFit="1" customWidth="1"/>
    <col min="15" max="15" width="17.7109375" customWidth="1"/>
    <col min="17" max="17" width="41.7109375" customWidth="1"/>
    <col min="18" max="18" width="24.42578125" customWidth="1"/>
    <col min="19" max="19" width="34.7109375" customWidth="1"/>
  </cols>
  <sheetData>
    <row r="2" spans="2:29" ht="18" customHeight="1" x14ac:dyDescent="0.25">
      <c r="B2" s="49" t="s">
        <v>0</v>
      </c>
      <c r="C2" s="50"/>
      <c r="D2" s="3" t="s">
        <v>1</v>
      </c>
      <c r="E2" s="46" t="s">
        <v>4</v>
      </c>
      <c r="F2" s="4">
        <v>360</v>
      </c>
      <c r="G2" s="46" t="s">
        <v>2</v>
      </c>
      <c r="H2" s="3" t="s">
        <v>6</v>
      </c>
      <c r="I2" s="46" t="s">
        <v>17</v>
      </c>
      <c r="J2" s="3" t="s">
        <v>5</v>
      </c>
      <c r="L2" s="15"/>
    </row>
    <row r="3" spans="2:29" ht="18" customHeight="1" x14ac:dyDescent="0.25">
      <c r="X3" s="45" t="s">
        <v>71</v>
      </c>
      <c r="Y3" s="45"/>
      <c r="Z3" s="45"/>
      <c r="AA3" s="45"/>
      <c r="AB3" s="45"/>
      <c r="AC3" s="45"/>
    </row>
    <row r="4" spans="2:29" ht="24.75" customHeight="1" x14ac:dyDescent="0.25">
      <c r="B4" s="46" t="s">
        <v>7</v>
      </c>
      <c r="C4" s="47" t="s">
        <v>40</v>
      </c>
      <c r="D4" s="46" t="s">
        <v>9</v>
      </c>
      <c r="E4" s="46" t="s">
        <v>8</v>
      </c>
      <c r="F4" s="46" t="s">
        <v>12</v>
      </c>
      <c r="G4" s="46" t="s">
        <v>10</v>
      </c>
      <c r="H4" s="46" t="s">
        <v>36</v>
      </c>
      <c r="I4" s="46" t="s">
        <v>18</v>
      </c>
      <c r="J4" s="46" t="s">
        <v>19</v>
      </c>
      <c r="K4" s="46" t="s">
        <v>15</v>
      </c>
      <c r="L4" s="46" t="s">
        <v>16</v>
      </c>
      <c r="M4" s="48" t="s">
        <v>75</v>
      </c>
      <c r="N4" s="46" t="s">
        <v>27</v>
      </c>
      <c r="O4" s="47" t="s">
        <v>37</v>
      </c>
    </row>
    <row r="5" spans="2:29" ht="18" customHeight="1" x14ac:dyDescent="0.3">
      <c r="B5" s="3">
        <v>1</v>
      </c>
      <c r="C5" s="3" t="s">
        <v>42</v>
      </c>
      <c r="D5" s="4">
        <v>300</v>
      </c>
      <c r="E5" s="6">
        <v>150000</v>
      </c>
      <c r="F5" s="9">
        <f t="shared" ref="F5:F20" si="0">E5/D5</f>
        <v>500</v>
      </c>
      <c r="G5" s="3" t="s">
        <v>3</v>
      </c>
      <c r="H5" s="3" t="s">
        <v>13</v>
      </c>
      <c r="I5" s="3" t="s">
        <v>20</v>
      </c>
      <c r="J5" s="3" t="s">
        <v>20</v>
      </c>
      <c r="K5" s="57">
        <v>1</v>
      </c>
      <c r="L5" s="53">
        <f>'Ft de área'!D5</f>
        <v>0.95544279220436679</v>
      </c>
      <c r="M5" s="55">
        <v>1</v>
      </c>
      <c r="N5" s="57">
        <v>0.82</v>
      </c>
      <c r="O5" s="54">
        <f t="shared" ref="O5:O20" si="1">F5*K5*L5*M5*N5</f>
        <v>391.73154480379037</v>
      </c>
    </row>
    <row r="6" spans="2:29" ht="18" customHeight="1" x14ac:dyDescent="0.3">
      <c r="B6" s="3">
        <v>2</v>
      </c>
      <c r="C6" s="3" t="s">
        <v>42</v>
      </c>
      <c r="D6" s="4">
        <v>350</v>
      </c>
      <c r="E6" s="6">
        <v>180000</v>
      </c>
      <c r="F6" s="40">
        <f t="shared" si="0"/>
        <v>514.28571428571433</v>
      </c>
      <c r="G6" s="3" t="s">
        <v>3</v>
      </c>
      <c r="H6" s="3" t="s">
        <v>13</v>
      </c>
      <c r="I6" s="3" t="s">
        <v>20</v>
      </c>
      <c r="J6" s="3" t="s">
        <v>20</v>
      </c>
      <c r="K6" s="57">
        <v>1</v>
      </c>
      <c r="L6" s="53">
        <f>'Ft de área'!D6</f>
        <v>0.99298202258815815</v>
      </c>
      <c r="M6" s="55">
        <v>1</v>
      </c>
      <c r="N6" s="57">
        <v>0.82</v>
      </c>
      <c r="O6" s="54">
        <f t="shared" si="1"/>
        <v>418.75470438289187</v>
      </c>
      <c r="Q6" s="51" t="s">
        <v>74</v>
      </c>
      <c r="R6" s="51"/>
      <c r="S6" s="52" t="s">
        <v>60</v>
      </c>
    </row>
    <row r="7" spans="2:29" ht="18" customHeight="1" x14ac:dyDescent="0.3">
      <c r="B7" s="3">
        <v>3</v>
      </c>
      <c r="C7" s="3" t="s">
        <v>41</v>
      </c>
      <c r="D7" s="4">
        <v>400</v>
      </c>
      <c r="E7" s="6">
        <v>200000</v>
      </c>
      <c r="F7" s="9">
        <f t="shared" si="0"/>
        <v>500</v>
      </c>
      <c r="G7" s="3" t="s">
        <v>3</v>
      </c>
      <c r="H7" s="3" t="s">
        <v>13</v>
      </c>
      <c r="I7" s="3" t="s">
        <v>20</v>
      </c>
      <c r="J7" s="3" t="s">
        <v>20</v>
      </c>
      <c r="K7" s="57">
        <v>0.9</v>
      </c>
      <c r="L7" s="53">
        <f>'Ft de área'!D7</f>
        <v>1.0266900960803409</v>
      </c>
      <c r="M7" s="55">
        <v>1</v>
      </c>
      <c r="N7" s="57">
        <v>0.82</v>
      </c>
      <c r="O7" s="54">
        <f t="shared" si="1"/>
        <v>378.84864545364576</v>
      </c>
      <c r="Q7" s="31" t="s">
        <v>61</v>
      </c>
      <c r="R7" s="32">
        <f>AVERAGE(O21)</f>
        <v>405.38791981720118</v>
      </c>
      <c r="S7" s="33">
        <v>16</v>
      </c>
    </row>
    <row r="8" spans="2:29" ht="18" customHeight="1" x14ac:dyDescent="0.3">
      <c r="B8" s="3">
        <v>4</v>
      </c>
      <c r="C8" s="3" t="s">
        <v>41</v>
      </c>
      <c r="D8" s="4">
        <v>360</v>
      </c>
      <c r="E8" s="6">
        <v>170000</v>
      </c>
      <c r="F8" s="9">
        <f t="shared" si="0"/>
        <v>472.22222222222223</v>
      </c>
      <c r="G8" s="3" t="s">
        <v>3</v>
      </c>
      <c r="H8" s="3" t="s">
        <v>5</v>
      </c>
      <c r="I8" s="3" t="s">
        <v>20</v>
      </c>
      <c r="J8" s="3" t="s">
        <v>20</v>
      </c>
      <c r="K8" s="57">
        <v>0.9</v>
      </c>
      <c r="L8" s="53">
        <f>'Ft de área'!D8</f>
        <v>1</v>
      </c>
      <c r="M8" s="55">
        <v>1</v>
      </c>
      <c r="N8" s="57">
        <f>'Ft Transposição'!E8</f>
        <v>1</v>
      </c>
      <c r="O8" s="54">
        <f t="shared" si="1"/>
        <v>425</v>
      </c>
      <c r="Q8" s="31" t="s">
        <v>62</v>
      </c>
      <c r="R8" s="34">
        <f>O15-O16</f>
        <v>76.189049657343389</v>
      </c>
      <c r="S8" s="33" t="s">
        <v>63</v>
      </c>
    </row>
    <row r="9" spans="2:29" ht="18" customHeight="1" x14ac:dyDescent="0.3">
      <c r="B9" s="3">
        <v>5</v>
      </c>
      <c r="C9" s="3" t="s">
        <v>41</v>
      </c>
      <c r="D9" s="4">
        <v>240</v>
      </c>
      <c r="E9" s="6">
        <v>80000</v>
      </c>
      <c r="F9" s="9">
        <f t="shared" si="0"/>
        <v>333.33333333333331</v>
      </c>
      <c r="G9" s="3" t="s">
        <v>11</v>
      </c>
      <c r="H9" s="3" t="s">
        <v>14</v>
      </c>
      <c r="I9" s="3" t="s">
        <v>20</v>
      </c>
      <c r="J9" s="3" t="s">
        <v>20</v>
      </c>
      <c r="K9" s="57">
        <v>0.9</v>
      </c>
      <c r="L9" s="53">
        <f>'Ft de área'!D9</f>
        <v>0.95057982495414073</v>
      </c>
      <c r="M9" s="56">
        <v>1.1000000000000001</v>
      </c>
      <c r="N9" s="57">
        <v>1.28</v>
      </c>
      <c r="O9" s="54">
        <f t="shared" si="1"/>
        <v>401.52491806062915</v>
      </c>
      <c r="Q9" s="31" t="s">
        <v>64</v>
      </c>
      <c r="R9" s="35">
        <f>_xlfn.STDEV.S(O5:O20)</f>
        <v>23.495364693083207</v>
      </c>
      <c r="S9" s="36">
        <v>1.341</v>
      </c>
    </row>
    <row r="10" spans="2:29" ht="18" customHeight="1" x14ac:dyDescent="0.3">
      <c r="B10" s="3">
        <v>6</v>
      </c>
      <c r="C10" s="3" t="s">
        <v>41</v>
      </c>
      <c r="D10" s="4">
        <v>500</v>
      </c>
      <c r="E10" s="6">
        <v>160000</v>
      </c>
      <c r="F10" s="9">
        <f t="shared" si="0"/>
        <v>320</v>
      </c>
      <c r="G10" s="3" t="s">
        <v>11</v>
      </c>
      <c r="H10" s="3" t="s">
        <v>14</v>
      </c>
      <c r="I10" s="3" t="s">
        <v>20</v>
      </c>
      <c r="J10" s="3" t="s">
        <v>20</v>
      </c>
      <c r="K10" s="57">
        <v>0.9</v>
      </c>
      <c r="L10" s="53">
        <f>'Ft de área'!D10</f>
        <v>1.0419177530181469</v>
      </c>
      <c r="M10" s="56">
        <v>1.1000000000000001</v>
      </c>
      <c r="N10" s="57">
        <v>1.28</v>
      </c>
      <c r="O10" s="54">
        <f t="shared" si="1"/>
        <v>422.50181651987072</v>
      </c>
      <c r="Q10" s="41" t="s">
        <v>65</v>
      </c>
      <c r="R10" s="34">
        <f>R7+(2*R9)</f>
        <v>452.37864920336762</v>
      </c>
      <c r="S10" s="33" t="s">
        <v>66</v>
      </c>
    </row>
    <row r="11" spans="2:29" ht="18" customHeight="1" x14ac:dyDescent="0.3">
      <c r="B11" s="3">
        <v>7</v>
      </c>
      <c r="C11" s="3" t="s">
        <v>41</v>
      </c>
      <c r="D11" s="4">
        <v>360</v>
      </c>
      <c r="E11" s="6">
        <v>120000</v>
      </c>
      <c r="F11" s="9">
        <f t="shared" si="0"/>
        <v>333.33333333333331</v>
      </c>
      <c r="G11" s="3" t="s">
        <v>3</v>
      </c>
      <c r="H11" s="3" t="s">
        <v>14</v>
      </c>
      <c r="I11" s="3" t="s">
        <v>20</v>
      </c>
      <c r="J11" s="3" t="s">
        <v>20</v>
      </c>
      <c r="K11" s="57">
        <v>0.9</v>
      </c>
      <c r="L11" s="53">
        <f>'Ft de área'!D11</f>
        <v>1</v>
      </c>
      <c r="M11" s="55">
        <v>1</v>
      </c>
      <c r="N11" s="57">
        <v>1.28</v>
      </c>
      <c r="O11" s="54">
        <f t="shared" si="1"/>
        <v>384</v>
      </c>
      <c r="Q11" s="31" t="s">
        <v>67</v>
      </c>
      <c r="R11" s="34">
        <f>R7-(2*R9)</f>
        <v>358.39719043103474</v>
      </c>
      <c r="S11" s="33">
        <f>S7-1</f>
        <v>15</v>
      </c>
    </row>
    <row r="12" spans="2:29" ht="18" customHeight="1" x14ac:dyDescent="0.3">
      <c r="B12" s="3">
        <v>8</v>
      </c>
      <c r="C12" s="3" t="s">
        <v>41</v>
      </c>
      <c r="D12" s="4">
        <v>450</v>
      </c>
      <c r="E12" s="6">
        <v>180000</v>
      </c>
      <c r="F12" s="9">
        <f t="shared" si="0"/>
        <v>400</v>
      </c>
      <c r="G12" s="3" t="s">
        <v>3</v>
      </c>
      <c r="H12" s="3" t="s">
        <v>5</v>
      </c>
      <c r="I12" s="3" t="s">
        <v>20</v>
      </c>
      <c r="J12" s="3" t="s">
        <v>20</v>
      </c>
      <c r="K12" s="57">
        <v>0.9</v>
      </c>
      <c r="L12" s="53">
        <f>'Ft de área'!D12</f>
        <v>1.0573712634405641</v>
      </c>
      <c r="M12" s="55">
        <v>1</v>
      </c>
      <c r="N12" s="57">
        <f>'Ft Transposição'!E12</f>
        <v>1</v>
      </c>
      <c r="O12" s="54">
        <f t="shared" si="1"/>
        <v>380.65365483860307</v>
      </c>
      <c r="Q12" s="42" t="s">
        <v>68</v>
      </c>
      <c r="R12" s="32">
        <f>R7+(R9/S13)*S9</f>
        <v>413.26474083055734</v>
      </c>
      <c r="S12" s="39" t="s">
        <v>70</v>
      </c>
    </row>
    <row r="13" spans="2:29" ht="18" customHeight="1" x14ac:dyDescent="0.3">
      <c r="B13" s="3">
        <v>9</v>
      </c>
      <c r="C13" s="3" t="s">
        <v>41</v>
      </c>
      <c r="D13" s="4">
        <v>400</v>
      </c>
      <c r="E13" s="6">
        <v>130000</v>
      </c>
      <c r="F13" s="9">
        <f t="shared" si="0"/>
        <v>325</v>
      </c>
      <c r="G13" s="3" t="s">
        <v>11</v>
      </c>
      <c r="H13" s="3" t="s">
        <v>14</v>
      </c>
      <c r="I13" s="3" t="s">
        <v>20</v>
      </c>
      <c r="J13" s="3" t="s">
        <v>20</v>
      </c>
      <c r="K13" s="57">
        <v>0.9</v>
      </c>
      <c r="L13" s="53">
        <f>'Ft de área'!D13</f>
        <v>1.0266900960803409</v>
      </c>
      <c r="M13" s="56">
        <v>1.1000000000000001</v>
      </c>
      <c r="N13" s="57">
        <v>1.28</v>
      </c>
      <c r="O13" s="54">
        <f t="shared" si="1"/>
        <v>422.83204916972761</v>
      </c>
      <c r="Q13" s="42" t="s">
        <v>69</v>
      </c>
      <c r="R13" s="32">
        <f>R7-(R9/S13)*S9</f>
        <v>397.51109880384502</v>
      </c>
      <c r="S13" s="37">
        <f>SQRT(S7)</f>
        <v>4</v>
      </c>
    </row>
    <row r="14" spans="2:29" ht="18" customHeight="1" x14ac:dyDescent="0.3">
      <c r="B14" s="3">
        <v>10</v>
      </c>
      <c r="C14" s="3" t="s">
        <v>41</v>
      </c>
      <c r="D14" s="4">
        <v>360</v>
      </c>
      <c r="E14" s="6">
        <v>165000</v>
      </c>
      <c r="F14" s="9">
        <f t="shared" si="0"/>
        <v>458.33333333333331</v>
      </c>
      <c r="G14" s="3" t="s">
        <v>3</v>
      </c>
      <c r="H14" s="3" t="s">
        <v>5</v>
      </c>
      <c r="I14" s="3" t="s">
        <v>20</v>
      </c>
      <c r="J14" s="3" t="s">
        <v>20</v>
      </c>
      <c r="K14" s="57">
        <v>0.9</v>
      </c>
      <c r="L14" s="53">
        <f>'Ft de área'!D14</f>
        <v>1</v>
      </c>
      <c r="M14" s="55">
        <v>1</v>
      </c>
      <c r="N14" s="57">
        <f>'Ft Transposição'!E14</f>
        <v>1</v>
      </c>
      <c r="O14" s="54">
        <f t="shared" si="1"/>
        <v>412.5</v>
      </c>
      <c r="Q14" s="42" t="s">
        <v>72</v>
      </c>
      <c r="R14" s="43">
        <f>(R12-R13)/R7</f>
        <v>3.8860659769575791E-2</v>
      </c>
      <c r="S14" s="44" t="s">
        <v>73</v>
      </c>
    </row>
    <row r="15" spans="2:29" ht="18" customHeight="1" x14ac:dyDescent="0.3">
      <c r="B15" s="3">
        <v>11</v>
      </c>
      <c r="C15" s="3" t="s">
        <v>41</v>
      </c>
      <c r="D15" s="4">
        <v>300</v>
      </c>
      <c r="E15" s="6">
        <v>110000</v>
      </c>
      <c r="F15" s="9">
        <f t="shared" si="0"/>
        <v>366.66666666666669</v>
      </c>
      <c r="G15" s="3" t="s">
        <v>11</v>
      </c>
      <c r="H15" s="3" t="s">
        <v>14</v>
      </c>
      <c r="I15" s="3" t="s">
        <v>20</v>
      </c>
      <c r="J15" s="3" t="s">
        <v>20</v>
      </c>
      <c r="K15" s="57">
        <v>0.9</v>
      </c>
      <c r="L15" s="53">
        <f>'Ft de área'!D15</f>
        <v>0.95544279220436679</v>
      </c>
      <c r="M15" s="56">
        <v>1.1000000000000001</v>
      </c>
      <c r="N15" s="57">
        <v>1.28</v>
      </c>
      <c r="O15" s="54">
        <f t="shared" si="1"/>
        <v>443.93693896983706</v>
      </c>
    </row>
    <row r="16" spans="2:29" ht="18" customHeight="1" x14ac:dyDescent="0.3">
      <c r="B16" s="3">
        <v>12</v>
      </c>
      <c r="C16" s="3" t="s">
        <v>41</v>
      </c>
      <c r="D16" s="4">
        <v>600</v>
      </c>
      <c r="E16" s="6">
        <v>230000</v>
      </c>
      <c r="F16" s="9">
        <f t="shared" si="0"/>
        <v>383.33333333333331</v>
      </c>
      <c r="G16" s="3" t="s">
        <v>3</v>
      </c>
      <c r="H16" s="3" t="s">
        <v>5</v>
      </c>
      <c r="I16" s="3" t="s">
        <v>20</v>
      </c>
      <c r="J16" s="3" t="s">
        <v>20</v>
      </c>
      <c r="K16" s="57">
        <v>0.9</v>
      </c>
      <c r="L16" s="53">
        <f>'Ft de área'!D16</f>
        <v>1.0659359110507063</v>
      </c>
      <c r="M16" s="55">
        <v>1</v>
      </c>
      <c r="N16" s="57">
        <f>'Ft Transposição'!E16</f>
        <v>1</v>
      </c>
      <c r="O16" s="54">
        <f t="shared" si="1"/>
        <v>367.74788931249367</v>
      </c>
    </row>
    <row r="17" spans="2:18" ht="18" customHeight="1" x14ac:dyDescent="0.3">
      <c r="B17" s="3">
        <v>13</v>
      </c>
      <c r="C17" s="3" t="s">
        <v>42</v>
      </c>
      <c r="D17" s="4">
        <v>400</v>
      </c>
      <c r="E17" s="6">
        <v>120000</v>
      </c>
      <c r="F17" s="9">
        <f t="shared" si="0"/>
        <v>300</v>
      </c>
      <c r="G17" s="3" t="s">
        <v>11</v>
      </c>
      <c r="H17" s="3" t="s">
        <v>14</v>
      </c>
      <c r="I17" s="3" t="s">
        <v>20</v>
      </c>
      <c r="J17" s="3" t="s">
        <v>20</v>
      </c>
      <c r="K17" s="57">
        <v>1</v>
      </c>
      <c r="L17" s="53">
        <f>'Ft de área'!D17</f>
        <v>1.0266900960803409</v>
      </c>
      <c r="M17" s="56">
        <v>1.1000000000000001</v>
      </c>
      <c r="N17" s="57">
        <v>1.28</v>
      </c>
      <c r="O17" s="54">
        <f t="shared" si="1"/>
        <v>433.67389658433603</v>
      </c>
    </row>
    <row r="18" spans="2:18" ht="18" customHeight="1" x14ac:dyDescent="0.3">
      <c r="B18" s="3">
        <v>14</v>
      </c>
      <c r="C18" s="3" t="s">
        <v>41</v>
      </c>
      <c r="D18" s="4">
        <v>450</v>
      </c>
      <c r="E18" s="6">
        <v>180000</v>
      </c>
      <c r="F18" s="9">
        <f t="shared" si="0"/>
        <v>400</v>
      </c>
      <c r="G18" s="3" t="s">
        <v>11</v>
      </c>
      <c r="H18" s="3" t="s">
        <v>5</v>
      </c>
      <c r="I18" s="3" t="s">
        <v>20</v>
      </c>
      <c r="J18" s="3" t="s">
        <v>20</v>
      </c>
      <c r="K18" s="57">
        <v>0.9</v>
      </c>
      <c r="L18" s="53">
        <f>'Ft de área'!D18</f>
        <v>1.0573712634405641</v>
      </c>
      <c r="M18" s="56">
        <v>1.1000000000000001</v>
      </c>
      <c r="N18" s="57">
        <f>'Ft Transposição'!E18</f>
        <v>1</v>
      </c>
      <c r="O18" s="54">
        <f t="shared" si="1"/>
        <v>418.71902032246339</v>
      </c>
      <c r="R18" s="38"/>
    </row>
    <row r="19" spans="2:18" ht="18" customHeight="1" x14ac:dyDescent="0.3">
      <c r="B19" s="3">
        <v>15</v>
      </c>
      <c r="C19" s="3" t="s">
        <v>41</v>
      </c>
      <c r="D19" s="4">
        <v>360</v>
      </c>
      <c r="E19" s="6">
        <v>150000</v>
      </c>
      <c r="F19" s="9">
        <f t="shared" si="0"/>
        <v>416.66666666666669</v>
      </c>
      <c r="G19" s="3" t="s">
        <v>11</v>
      </c>
      <c r="H19" s="3" t="s">
        <v>5</v>
      </c>
      <c r="I19" s="3" t="s">
        <v>20</v>
      </c>
      <c r="J19" s="3" t="s">
        <v>20</v>
      </c>
      <c r="K19" s="57">
        <v>0.9</v>
      </c>
      <c r="L19" s="53">
        <f>'Ft de área'!D19</f>
        <v>1</v>
      </c>
      <c r="M19" s="56">
        <v>1.1000000000000001</v>
      </c>
      <c r="N19" s="57">
        <f>'Ft Transposição'!E19</f>
        <v>1</v>
      </c>
      <c r="O19" s="54">
        <f t="shared" si="1"/>
        <v>412.50000000000006</v>
      </c>
      <c r="R19" s="38"/>
    </row>
    <row r="20" spans="2:18" ht="18" customHeight="1" x14ac:dyDescent="0.3">
      <c r="B20" s="3">
        <v>16</v>
      </c>
      <c r="C20" s="3" t="s">
        <v>41</v>
      </c>
      <c r="D20" s="4">
        <v>280</v>
      </c>
      <c r="E20" s="6">
        <v>150000</v>
      </c>
      <c r="F20" s="9">
        <f t="shared" si="0"/>
        <v>535.71428571428567</v>
      </c>
      <c r="G20" s="3" t="s">
        <v>3</v>
      </c>
      <c r="H20" s="3" t="s">
        <v>13</v>
      </c>
      <c r="I20" s="3" t="s">
        <v>20</v>
      </c>
      <c r="J20" s="3" t="s">
        <v>20</v>
      </c>
      <c r="K20" s="57">
        <v>0.9</v>
      </c>
      <c r="L20" s="53">
        <f>'Ft de área'!D20</f>
        <v>0.93910441575375248</v>
      </c>
      <c r="M20" s="55">
        <v>1</v>
      </c>
      <c r="N20" s="57">
        <v>0.82</v>
      </c>
      <c r="O20" s="54">
        <f t="shared" si="1"/>
        <v>371.28163865692994</v>
      </c>
    </row>
    <row r="21" spans="2:18" ht="18" customHeight="1" x14ac:dyDescent="0.3">
      <c r="F21" s="29"/>
      <c r="N21" s="21" t="s">
        <v>38</v>
      </c>
      <c r="O21" s="20">
        <f>AVERAGE(O5:O20)</f>
        <v>405.38791981720118</v>
      </c>
      <c r="Q21" s="30"/>
    </row>
  </sheetData>
  <autoFilter ref="B4:T20" xr:uid="{00000000-0009-0000-0000-000000000000}"/>
  <mergeCells count="3">
    <mergeCell ref="B2:C2"/>
    <mergeCell ref="Q6:R6"/>
    <mergeCell ref="X3:AC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2"/>
  <sheetViews>
    <sheetView workbookViewId="0">
      <selection activeCell="C6" sqref="C6"/>
    </sheetView>
  </sheetViews>
  <sheetFormatPr defaultRowHeight="15" x14ac:dyDescent="0.25"/>
  <cols>
    <col min="2" max="2" width="15.42578125" customWidth="1"/>
    <col min="3" max="3" width="17.5703125" style="2" customWidth="1"/>
    <col min="4" max="4" width="10.5703125" customWidth="1"/>
    <col min="8" max="8" width="10.140625" customWidth="1"/>
  </cols>
  <sheetData>
    <row r="2" spans="1:9" x14ac:dyDescent="0.25">
      <c r="B2" s="8" t="s">
        <v>4</v>
      </c>
      <c r="C2" s="4">
        <v>360</v>
      </c>
    </row>
    <row r="4" spans="1:9" x14ac:dyDescent="0.25">
      <c r="A4" s="8" t="s">
        <v>43</v>
      </c>
      <c r="B4" s="10" t="s">
        <v>21</v>
      </c>
      <c r="C4" s="14" t="s">
        <v>25</v>
      </c>
      <c r="D4" s="8" t="s">
        <v>16</v>
      </c>
    </row>
    <row r="5" spans="1:9" x14ac:dyDescent="0.25">
      <c r="A5" s="3">
        <v>1</v>
      </c>
      <c r="B5" s="4">
        <f>Resumo!D5</f>
        <v>300</v>
      </c>
      <c r="C5" s="12">
        <f>B5/$C$2</f>
        <v>0.83333333333333337</v>
      </c>
      <c r="D5" s="12">
        <f>C5^0.25</f>
        <v>0.95544279220436679</v>
      </c>
    </row>
    <row r="6" spans="1:9" x14ac:dyDescent="0.25">
      <c r="A6" s="3">
        <v>2</v>
      </c>
      <c r="B6" s="4">
        <f>Resumo!D6</f>
        <v>350</v>
      </c>
      <c r="C6" s="12">
        <f t="shared" ref="C6:C20" si="0">B6/$C$2</f>
        <v>0.97222222222222221</v>
      </c>
      <c r="D6" s="12">
        <f>C6^0.25</f>
        <v>0.99298202258815815</v>
      </c>
    </row>
    <row r="7" spans="1:9" x14ac:dyDescent="0.25">
      <c r="A7" s="3">
        <v>3</v>
      </c>
      <c r="B7" s="4">
        <f>Resumo!D7</f>
        <v>400</v>
      </c>
      <c r="C7" s="12">
        <f t="shared" si="0"/>
        <v>1.1111111111111112</v>
      </c>
      <c r="D7" s="12">
        <f>C7^0.25</f>
        <v>1.0266900960803409</v>
      </c>
    </row>
    <row r="8" spans="1:9" x14ac:dyDescent="0.25">
      <c r="A8" s="3">
        <v>4</v>
      </c>
      <c r="B8" s="4">
        <f>Resumo!D8</f>
        <v>360</v>
      </c>
      <c r="C8" s="12">
        <f t="shared" si="0"/>
        <v>1</v>
      </c>
      <c r="D8" s="12">
        <f>C8^0.25</f>
        <v>1</v>
      </c>
    </row>
    <row r="9" spans="1:9" x14ac:dyDescent="0.25">
      <c r="A9" s="3">
        <v>5</v>
      </c>
      <c r="B9" s="4">
        <f>Resumo!D9</f>
        <v>240</v>
      </c>
      <c r="C9" s="12">
        <f t="shared" si="0"/>
        <v>0.66666666666666663</v>
      </c>
      <c r="D9" s="12">
        <f>C9^0.125</f>
        <v>0.95057982495414073</v>
      </c>
    </row>
    <row r="10" spans="1:9" x14ac:dyDescent="0.25">
      <c r="A10" s="3">
        <v>6</v>
      </c>
      <c r="B10" s="4">
        <f>Resumo!D10</f>
        <v>500</v>
      </c>
      <c r="C10" s="12">
        <f t="shared" si="0"/>
        <v>1.3888888888888888</v>
      </c>
      <c r="D10" s="12">
        <f>C10^0.125</f>
        <v>1.0419177530181469</v>
      </c>
    </row>
    <row r="11" spans="1:9" x14ac:dyDescent="0.25">
      <c r="A11" s="3">
        <v>7</v>
      </c>
      <c r="B11" s="4">
        <f>Resumo!D11</f>
        <v>360</v>
      </c>
      <c r="C11" s="12">
        <f t="shared" si="0"/>
        <v>1</v>
      </c>
      <c r="D11" s="12">
        <f>C11^0.25</f>
        <v>1</v>
      </c>
    </row>
    <row r="12" spans="1:9" x14ac:dyDescent="0.25">
      <c r="A12" s="3">
        <v>8</v>
      </c>
      <c r="B12" s="4">
        <f>Resumo!D12</f>
        <v>450</v>
      </c>
      <c r="C12" s="12">
        <f t="shared" si="0"/>
        <v>1.25</v>
      </c>
      <c r="D12" s="12">
        <f>C12^0.25</f>
        <v>1.0573712634405641</v>
      </c>
    </row>
    <row r="13" spans="1:9" x14ac:dyDescent="0.25">
      <c r="A13" s="3">
        <v>9</v>
      </c>
      <c r="B13" s="4">
        <f>Resumo!D13</f>
        <v>400</v>
      </c>
      <c r="C13" s="12">
        <f t="shared" si="0"/>
        <v>1.1111111111111112</v>
      </c>
      <c r="D13" s="12">
        <f>C13^0.25</f>
        <v>1.0266900960803409</v>
      </c>
    </row>
    <row r="14" spans="1:9" x14ac:dyDescent="0.25">
      <c r="A14" s="3">
        <v>10</v>
      </c>
      <c r="B14" s="4">
        <f>Resumo!D14</f>
        <v>360</v>
      </c>
      <c r="C14" s="12">
        <f t="shared" si="0"/>
        <v>1</v>
      </c>
      <c r="D14" s="12">
        <f>C14^0.25</f>
        <v>1</v>
      </c>
    </row>
    <row r="15" spans="1:9" x14ac:dyDescent="0.25">
      <c r="A15" s="3">
        <v>11</v>
      </c>
      <c r="B15" s="4">
        <f>Resumo!D15</f>
        <v>300</v>
      </c>
      <c r="C15" s="12">
        <f t="shared" si="0"/>
        <v>0.83333333333333337</v>
      </c>
      <c r="D15" s="12">
        <f>C15^0.25</f>
        <v>0.95544279220436679</v>
      </c>
    </row>
    <row r="16" spans="1:9" x14ac:dyDescent="0.25">
      <c r="A16" s="3">
        <v>12</v>
      </c>
      <c r="B16" s="4">
        <f>Resumo!D16</f>
        <v>600</v>
      </c>
      <c r="C16" s="12">
        <f t="shared" si="0"/>
        <v>1.6666666666666667</v>
      </c>
      <c r="D16" s="12">
        <f>C16^0.125</f>
        <v>1.0659359110507063</v>
      </c>
      <c r="H16" t="s">
        <v>22</v>
      </c>
      <c r="I16" t="s">
        <v>23</v>
      </c>
    </row>
    <row r="17" spans="1:12" x14ac:dyDescent="0.25">
      <c r="A17" s="3">
        <v>13</v>
      </c>
      <c r="B17" s="4">
        <f>Resumo!D17</f>
        <v>400</v>
      </c>
      <c r="C17" s="12">
        <f t="shared" si="0"/>
        <v>1.1111111111111112</v>
      </c>
      <c r="D17" s="12">
        <f>C17^0.25</f>
        <v>1.0266900960803409</v>
      </c>
      <c r="H17" t="s">
        <v>24</v>
      </c>
      <c r="I17" t="s">
        <v>26</v>
      </c>
    </row>
    <row r="18" spans="1:12" x14ac:dyDescent="0.25">
      <c r="A18" s="3">
        <v>14</v>
      </c>
      <c r="B18" s="4">
        <f>Resumo!D18</f>
        <v>450</v>
      </c>
      <c r="C18" s="12">
        <f t="shared" si="0"/>
        <v>1.25</v>
      </c>
      <c r="D18" s="12">
        <f>C18^0.25</f>
        <v>1.0573712634405641</v>
      </c>
    </row>
    <row r="19" spans="1:12" x14ac:dyDescent="0.25">
      <c r="A19" s="3">
        <v>15</v>
      </c>
      <c r="B19" s="4">
        <f>Resumo!D19</f>
        <v>360</v>
      </c>
      <c r="C19" s="12">
        <f t="shared" si="0"/>
        <v>1</v>
      </c>
      <c r="D19" s="12">
        <f>C19^0.25</f>
        <v>1</v>
      </c>
    </row>
    <row r="20" spans="1:12" x14ac:dyDescent="0.25">
      <c r="A20" s="3">
        <v>16</v>
      </c>
      <c r="B20" s="4">
        <f>Resumo!D20</f>
        <v>280</v>
      </c>
      <c r="C20" s="12">
        <f t="shared" si="0"/>
        <v>0.77777777777777779</v>
      </c>
      <c r="D20" s="12">
        <f>C20^0.25</f>
        <v>0.93910441575375248</v>
      </c>
    </row>
    <row r="22" spans="1:12" x14ac:dyDescent="0.25">
      <c r="L22" s="13"/>
    </row>
  </sheetData>
  <autoFilter ref="B4:L20" xr:uid="{00000000-0009-0000-0000-000001000000}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20"/>
  <sheetViews>
    <sheetView workbookViewId="0">
      <selection activeCell="F20" sqref="F20"/>
    </sheetView>
  </sheetViews>
  <sheetFormatPr defaultRowHeight="15" x14ac:dyDescent="0.25"/>
  <cols>
    <col min="2" max="2" width="14.28515625" customWidth="1"/>
    <col min="3" max="3" width="18.42578125" customWidth="1"/>
    <col min="4" max="4" width="12.140625" customWidth="1"/>
    <col min="5" max="6" width="14.85546875" customWidth="1"/>
    <col min="7" max="7" width="12.85546875" customWidth="1"/>
    <col min="8" max="8" width="12.140625" customWidth="1"/>
    <col min="9" max="9" width="12.140625" bestFit="1" customWidth="1"/>
    <col min="10" max="10" width="41.42578125" customWidth="1"/>
  </cols>
  <sheetData>
    <row r="2" spans="1:10" x14ac:dyDescent="0.25">
      <c r="B2" s="8" t="s">
        <v>4</v>
      </c>
      <c r="C2" s="4">
        <v>360</v>
      </c>
      <c r="D2" s="8" t="s">
        <v>17</v>
      </c>
      <c r="E2" s="3" t="s">
        <v>5</v>
      </c>
      <c r="F2" s="18"/>
    </row>
    <row r="3" spans="1:10" x14ac:dyDescent="0.25">
      <c r="C3" s="2"/>
    </row>
    <row r="4" spans="1:10" x14ac:dyDescent="0.25">
      <c r="A4" s="8" t="s">
        <v>43</v>
      </c>
      <c r="B4" s="8" t="s">
        <v>21</v>
      </c>
      <c r="C4" s="8" t="s">
        <v>36</v>
      </c>
      <c r="D4" s="8" t="s">
        <v>12</v>
      </c>
      <c r="E4" s="8" t="s">
        <v>27</v>
      </c>
      <c r="F4" s="18"/>
      <c r="G4" s="3" t="s">
        <v>31</v>
      </c>
      <c r="H4" s="3" t="s">
        <v>35</v>
      </c>
      <c r="I4" s="2"/>
      <c r="J4" s="16" t="s">
        <v>28</v>
      </c>
    </row>
    <row r="5" spans="1:10" x14ac:dyDescent="0.25">
      <c r="A5" s="3">
        <v>1</v>
      </c>
      <c r="B5" s="4">
        <f>Resumo!D5</f>
        <v>300</v>
      </c>
      <c r="C5" s="3" t="str">
        <f>Resumo!H5</f>
        <v>A</v>
      </c>
      <c r="D5" s="9">
        <f>Resumo!F5</f>
        <v>500</v>
      </c>
      <c r="E5" s="4">
        <v>0.8</v>
      </c>
      <c r="F5" s="18"/>
      <c r="G5" s="3" t="s">
        <v>32</v>
      </c>
      <c r="H5" s="17">
        <f>AVERAGE(D5,D6,D7,D20)</f>
        <v>512.5</v>
      </c>
      <c r="I5" s="15"/>
      <c r="J5" s="16" t="s">
        <v>29</v>
      </c>
    </row>
    <row r="6" spans="1:10" x14ac:dyDescent="0.25">
      <c r="A6" s="3">
        <v>2</v>
      </c>
      <c r="B6" s="4">
        <f>Resumo!D6</f>
        <v>350</v>
      </c>
      <c r="C6" s="3" t="str">
        <f>Resumo!H6</f>
        <v>A</v>
      </c>
      <c r="D6" s="9">
        <f>Resumo!F6</f>
        <v>514.28571428571433</v>
      </c>
      <c r="E6" s="4">
        <v>0.8</v>
      </c>
      <c r="F6" s="18"/>
      <c r="G6" s="3" t="s">
        <v>33</v>
      </c>
      <c r="H6" s="17">
        <v>421.76</v>
      </c>
      <c r="J6" s="16" t="s">
        <v>30</v>
      </c>
    </row>
    <row r="7" spans="1:10" x14ac:dyDescent="0.25">
      <c r="A7" s="3">
        <v>3</v>
      </c>
      <c r="B7" s="4">
        <f>Resumo!D7</f>
        <v>400</v>
      </c>
      <c r="C7" s="3" t="str">
        <f>Resumo!H7</f>
        <v>A</v>
      </c>
      <c r="D7" s="9">
        <f>Resumo!F7</f>
        <v>500</v>
      </c>
      <c r="E7" s="4">
        <v>0.8</v>
      </c>
      <c r="F7" s="18"/>
      <c r="G7" s="3" t="s">
        <v>34</v>
      </c>
      <c r="H7" s="17">
        <v>329.72</v>
      </c>
    </row>
    <row r="8" spans="1:10" x14ac:dyDescent="0.25">
      <c r="A8" s="3">
        <v>4</v>
      </c>
      <c r="B8" s="4">
        <f>Resumo!D8</f>
        <v>360</v>
      </c>
      <c r="C8" s="3" t="str">
        <f>Resumo!H8</f>
        <v>B</v>
      </c>
      <c r="D8" s="9">
        <f>Resumo!F8</f>
        <v>472.22222222222223</v>
      </c>
      <c r="E8" s="4">
        <v>1</v>
      </c>
      <c r="F8" s="18"/>
    </row>
    <row r="9" spans="1:10" x14ac:dyDescent="0.25">
      <c r="A9" s="3">
        <v>5</v>
      </c>
      <c r="B9" s="4">
        <f>Resumo!D9</f>
        <v>240</v>
      </c>
      <c r="C9" s="3" t="str">
        <f>Resumo!H9</f>
        <v>C</v>
      </c>
      <c r="D9" s="9">
        <f>Resumo!F9</f>
        <v>333.33333333333331</v>
      </c>
      <c r="E9" s="4">
        <v>1.3</v>
      </c>
      <c r="F9" s="19"/>
      <c r="G9" s="3" t="s">
        <v>31</v>
      </c>
      <c r="H9" s="3" t="s">
        <v>35</v>
      </c>
    </row>
    <row r="10" spans="1:10" x14ac:dyDescent="0.25">
      <c r="A10" s="3">
        <v>6</v>
      </c>
      <c r="B10" s="4">
        <f>Resumo!D10</f>
        <v>500</v>
      </c>
      <c r="C10" s="3" t="str">
        <f>Resumo!H10</f>
        <v>C</v>
      </c>
      <c r="D10" s="9">
        <f>Resumo!F10</f>
        <v>320</v>
      </c>
      <c r="E10" s="4">
        <v>1.3</v>
      </c>
      <c r="F10" s="19"/>
      <c r="G10" s="3" t="s">
        <v>32</v>
      </c>
      <c r="H10" s="4">
        <f>H6/H5</f>
        <v>0.82294634146341461</v>
      </c>
    </row>
    <row r="11" spans="1:10" x14ac:dyDescent="0.25">
      <c r="A11" s="3">
        <v>7</v>
      </c>
      <c r="B11" s="4">
        <f>Resumo!D11</f>
        <v>360</v>
      </c>
      <c r="C11" s="3" t="str">
        <f>Resumo!H11</f>
        <v>C</v>
      </c>
      <c r="D11" s="9">
        <f>Resumo!F11</f>
        <v>333.33333333333331</v>
      </c>
      <c r="E11" s="4">
        <v>1.3</v>
      </c>
      <c r="F11" s="19"/>
      <c r="G11" s="3" t="s">
        <v>33</v>
      </c>
      <c r="H11" s="4">
        <v>1</v>
      </c>
    </row>
    <row r="12" spans="1:10" x14ac:dyDescent="0.25">
      <c r="A12" s="3">
        <v>8</v>
      </c>
      <c r="B12" s="4">
        <f>Resumo!D12</f>
        <v>450</v>
      </c>
      <c r="C12" s="3" t="str">
        <f>Resumo!H12</f>
        <v>B</v>
      </c>
      <c r="D12" s="9">
        <f>Resumo!F12</f>
        <v>400</v>
      </c>
      <c r="E12" s="4">
        <v>1</v>
      </c>
      <c r="F12" s="19"/>
      <c r="G12" s="3" t="s">
        <v>34</v>
      </c>
      <c r="H12" s="4">
        <f>H6/H7</f>
        <v>1.2791459420114035</v>
      </c>
    </row>
    <row r="13" spans="1:10" x14ac:dyDescent="0.25">
      <c r="A13" s="3">
        <v>9</v>
      </c>
      <c r="B13" s="4">
        <f>Resumo!D13</f>
        <v>400</v>
      </c>
      <c r="C13" s="3" t="str">
        <f>Resumo!H13</f>
        <v>C</v>
      </c>
      <c r="D13" s="9">
        <f>Resumo!F13</f>
        <v>325</v>
      </c>
      <c r="E13" s="4">
        <v>1</v>
      </c>
      <c r="F13" s="19"/>
    </row>
    <row r="14" spans="1:10" x14ac:dyDescent="0.25">
      <c r="A14" s="3">
        <v>10</v>
      </c>
      <c r="B14" s="4">
        <f>Resumo!D14</f>
        <v>360</v>
      </c>
      <c r="C14" s="3" t="str">
        <f>Resumo!H14</f>
        <v>B</v>
      </c>
      <c r="D14" s="9">
        <f>Resumo!F14</f>
        <v>458.33333333333331</v>
      </c>
      <c r="E14" s="4">
        <v>1</v>
      </c>
      <c r="F14" s="19"/>
    </row>
    <row r="15" spans="1:10" x14ac:dyDescent="0.25">
      <c r="A15" s="3">
        <v>11</v>
      </c>
      <c r="B15" s="4">
        <f>Resumo!D15</f>
        <v>300</v>
      </c>
      <c r="C15" s="3" t="str">
        <f>Resumo!H15</f>
        <v>C</v>
      </c>
      <c r="D15" s="9">
        <f>Resumo!F15</f>
        <v>366.66666666666669</v>
      </c>
      <c r="E15" s="4">
        <v>1.3</v>
      </c>
      <c r="F15" s="19"/>
    </row>
    <row r="16" spans="1:10" x14ac:dyDescent="0.25">
      <c r="A16" s="3">
        <v>12</v>
      </c>
      <c r="B16" s="4">
        <f>Resumo!D16</f>
        <v>600</v>
      </c>
      <c r="C16" s="3" t="str">
        <f>Resumo!H16</f>
        <v>B</v>
      </c>
      <c r="D16" s="9">
        <f>Resumo!F16</f>
        <v>383.33333333333331</v>
      </c>
      <c r="E16" s="4">
        <v>1</v>
      </c>
      <c r="F16" s="19"/>
    </row>
    <row r="17" spans="1:6" x14ac:dyDescent="0.25">
      <c r="A17" s="3">
        <v>13</v>
      </c>
      <c r="B17" s="4">
        <f>Resumo!D17</f>
        <v>400</v>
      </c>
      <c r="C17" s="3" t="str">
        <f>Resumo!H17</f>
        <v>C</v>
      </c>
      <c r="D17" s="9">
        <f>Resumo!F17</f>
        <v>300</v>
      </c>
      <c r="E17" s="4">
        <v>1.3</v>
      </c>
      <c r="F17" s="19"/>
    </row>
    <row r="18" spans="1:6" x14ac:dyDescent="0.25">
      <c r="A18" s="3">
        <v>14</v>
      </c>
      <c r="B18" s="4">
        <f>Resumo!D18</f>
        <v>450</v>
      </c>
      <c r="C18" s="3" t="str">
        <f>Resumo!H18</f>
        <v>B</v>
      </c>
      <c r="D18" s="9">
        <f>Resumo!F18</f>
        <v>400</v>
      </c>
      <c r="E18" s="4">
        <v>1</v>
      </c>
      <c r="F18" s="19"/>
    </row>
    <row r="19" spans="1:6" x14ac:dyDescent="0.25">
      <c r="A19" s="3">
        <v>15</v>
      </c>
      <c r="B19" s="4">
        <f>Resumo!D19</f>
        <v>360</v>
      </c>
      <c r="C19" s="3" t="str">
        <f>Resumo!H19</f>
        <v>B</v>
      </c>
      <c r="D19" s="9">
        <f>Resumo!F19</f>
        <v>416.66666666666669</v>
      </c>
      <c r="E19" s="4">
        <v>1</v>
      </c>
      <c r="F19" s="19"/>
    </row>
    <row r="20" spans="1:6" x14ac:dyDescent="0.25">
      <c r="A20" s="3">
        <v>16</v>
      </c>
      <c r="B20" s="4">
        <f>Resumo!D20</f>
        <v>280</v>
      </c>
      <c r="C20" s="3" t="str">
        <f>Resumo!H20</f>
        <v>A</v>
      </c>
      <c r="D20" s="9">
        <f>Resumo!F20</f>
        <v>535.71428571428567</v>
      </c>
      <c r="E20" s="4">
        <v>0.8</v>
      </c>
      <c r="F20" s="19"/>
    </row>
  </sheetData>
  <autoFilter ref="B4:C20" xr:uid="{00000000-0009-0000-0000-000002000000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20"/>
  <sheetViews>
    <sheetView zoomScale="112" zoomScaleNormal="112" workbookViewId="0">
      <selection activeCell="C22" sqref="C22"/>
    </sheetView>
  </sheetViews>
  <sheetFormatPr defaultRowHeight="15" x14ac:dyDescent="0.25"/>
  <cols>
    <col min="1" max="1" width="11.42578125" customWidth="1"/>
    <col min="2" max="2" width="27.5703125" customWidth="1"/>
    <col min="3" max="3" width="15" customWidth="1"/>
    <col min="4" max="4" width="23.28515625" customWidth="1"/>
    <col min="7" max="7" width="23.85546875" customWidth="1"/>
    <col min="8" max="9" width="6.85546875" customWidth="1"/>
  </cols>
  <sheetData>
    <row r="3" spans="1:10" x14ac:dyDescent="0.25">
      <c r="A3" s="3" t="s">
        <v>43</v>
      </c>
      <c r="B3" s="3" t="s">
        <v>45</v>
      </c>
      <c r="C3" s="3" t="s">
        <v>46</v>
      </c>
      <c r="D3" s="3" t="s">
        <v>48</v>
      </c>
      <c r="G3" s="10" t="s">
        <v>47</v>
      </c>
      <c r="H3" s="10">
        <f>_xlfn.STDEV.S(B4:B19)</f>
        <v>23.495364693083207</v>
      </c>
    </row>
    <row r="4" spans="1:10" x14ac:dyDescent="0.25">
      <c r="A4" s="24">
        <f>Resumo!B5</f>
        <v>1</v>
      </c>
      <c r="B4" s="25">
        <f>Resumo!O5</f>
        <v>391.73154480379037</v>
      </c>
      <c r="C4" s="26">
        <f>(B4-$B$20)^2</f>
        <v>186.49657850691108</v>
      </c>
      <c r="D4" s="11">
        <f>(B4-$B$20)/$H$3</f>
        <v>-0.58123698830821324</v>
      </c>
      <c r="J4" s="1"/>
    </row>
    <row r="5" spans="1:10" x14ac:dyDescent="0.25">
      <c r="A5" s="3">
        <f>Resumo!B6</f>
        <v>2</v>
      </c>
      <c r="B5" s="7">
        <f>Resumo!O6</f>
        <v>418.75470438289187</v>
      </c>
      <c r="C5" s="4">
        <f>(B5-$B$20)^2</f>
        <v>178.67092962558695</v>
      </c>
      <c r="D5" s="11">
        <f>(B5-$B$20)/$H$3</f>
        <v>0.56891155937774129</v>
      </c>
    </row>
    <row r="6" spans="1:10" x14ac:dyDescent="0.25">
      <c r="A6" s="3">
        <f>Resumo!B7</f>
        <v>3</v>
      </c>
      <c r="B6" s="7">
        <f>Resumo!O7</f>
        <v>378.84864545364576</v>
      </c>
      <c r="C6" s="4">
        <f>(B6-$B$20)^2</f>
        <v>704.33308374407</v>
      </c>
      <c r="D6" s="11">
        <f>(B6-$B$20)/$H$3</f>
        <v>-1.1295536251611498</v>
      </c>
    </row>
    <row r="7" spans="1:10" x14ac:dyDescent="0.25">
      <c r="A7" s="3">
        <f>Resumo!B8</f>
        <v>4</v>
      </c>
      <c r="B7" s="7">
        <f>Resumo!O8</f>
        <v>425</v>
      </c>
      <c r="C7" s="4">
        <f>(B7-$B$20)^2</f>
        <v>384.63368909653019</v>
      </c>
      <c r="D7" s="11">
        <f>(B7-$B$20)/$H$3</f>
        <v>0.83472124987157204</v>
      </c>
    </row>
    <row r="8" spans="1:10" x14ac:dyDescent="0.25">
      <c r="A8" s="3">
        <f>Resumo!B9</f>
        <v>5</v>
      </c>
      <c r="B8" s="7">
        <f>Resumo!O9</f>
        <v>401.52491806062915</v>
      </c>
      <c r="C8" s="4">
        <f t="shared" ref="C8" si="0">(B8-$B$20)^2</f>
        <v>14.922782571278606</v>
      </c>
      <c r="D8" s="11">
        <f t="shared" ref="D8" si="1">(B8-$B$20)/$H$3</f>
        <v>-0.16441548394902167</v>
      </c>
    </row>
    <row r="9" spans="1:10" x14ac:dyDescent="0.25">
      <c r="A9" s="3">
        <f>Resumo!B10</f>
        <v>6</v>
      </c>
      <c r="B9" s="7">
        <f>Resumo!O10</f>
        <v>422.50181651987072</v>
      </c>
      <c r="C9" s="4">
        <f t="shared" ref="C9:C19" si="2">(B9-$B$20)^2</f>
        <v>292.88546034964321</v>
      </c>
      <c r="D9" s="11">
        <f t="shared" ref="D9:D19" si="3">(B9-$B$20)/$H$3</f>
        <v>0.72839459724188449</v>
      </c>
    </row>
    <row r="10" spans="1:10" x14ac:dyDescent="0.25">
      <c r="A10" s="3">
        <f>Resumo!B11</f>
        <v>7</v>
      </c>
      <c r="B10" s="7">
        <f>Resumo!O11</f>
        <v>384</v>
      </c>
      <c r="C10" s="4">
        <f t="shared" si="2"/>
        <v>457.44311410702693</v>
      </c>
      <c r="D10" s="11">
        <f t="shared" si="3"/>
        <v>-0.9103038023281913</v>
      </c>
    </row>
    <row r="11" spans="1:10" x14ac:dyDescent="0.25">
      <c r="A11" s="3">
        <f>Resumo!B12</f>
        <v>8</v>
      </c>
      <c r="B11" s="7">
        <f>Resumo!O12</f>
        <v>380.65365483860307</v>
      </c>
      <c r="C11" s="4">
        <f t="shared" si="2"/>
        <v>611.78386403150478</v>
      </c>
      <c r="D11" s="11">
        <f t="shared" si="3"/>
        <v>-1.0527295618390473</v>
      </c>
    </row>
    <row r="12" spans="1:10" x14ac:dyDescent="0.25">
      <c r="A12" s="3">
        <f>Resumo!B13</f>
        <v>9</v>
      </c>
      <c r="B12" s="7">
        <f>Resumo!O13</f>
        <v>422.83204916972761</v>
      </c>
      <c r="C12" s="4">
        <f t="shared" si="2"/>
        <v>304.29764886767424</v>
      </c>
      <c r="D12" s="11">
        <f t="shared" si="3"/>
        <v>0.74244982277980143</v>
      </c>
    </row>
    <row r="13" spans="1:10" x14ac:dyDescent="0.25">
      <c r="A13" s="3">
        <f>Resumo!B14</f>
        <v>10</v>
      </c>
      <c r="B13" s="7">
        <f>Resumo!O14</f>
        <v>412.5</v>
      </c>
      <c r="C13" s="4">
        <f t="shared" si="2"/>
        <v>50.581684526559698</v>
      </c>
      <c r="D13" s="11">
        <f t="shared" si="3"/>
        <v>0.30270141688383934</v>
      </c>
    </row>
    <row r="14" spans="1:10" x14ac:dyDescent="0.25">
      <c r="A14" s="3">
        <f>Resumo!B15</f>
        <v>11</v>
      </c>
      <c r="B14" s="7">
        <f>Resumo!O15</f>
        <v>443.93693896983706</v>
      </c>
      <c r="C14" s="4">
        <f t="shared" si="2"/>
        <v>1486.0268776302878</v>
      </c>
      <c r="D14" s="11">
        <f t="shared" si="3"/>
        <v>1.6407074185141</v>
      </c>
    </row>
    <row r="15" spans="1:10" x14ac:dyDescent="0.25">
      <c r="A15" s="3">
        <f>Resumo!B16</f>
        <v>12</v>
      </c>
      <c r="B15" s="7">
        <f>Resumo!O16</f>
        <v>367.74788931249367</v>
      </c>
      <c r="C15" s="4">
        <f t="shared" si="2"/>
        <v>1416.7718963953118</v>
      </c>
      <c r="D15" s="11">
        <f t="shared" si="3"/>
        <v>-1.6020194194214123</v>
      </c>
    </row>
    <row r="16" spans="1:10" x14ac:dyDescent="0.25">
      <c r="A16" s="3">
        <f>Resumo!B17</f>
        <v>13</v>
      </c>
      <c r="B16" s="7">
        <f>Resumo!O17</f>
        <v>433.67389658433603</v>
      </c>
      <c r="C16" s="4">
        <f t="shared" si="2"/>
        <v>800.09648167089279</v>
      </c>
      <c r="D16" s="11">
        <f t="shared" si="3"/>
        <v>1.2038960508436778</v>
      </c>
    </row>
    <row r="17" spans="1:4" x14ac:dyDescent="0.25">
      <c r="A17" s="3">
        <f>Resumo!B18</f>
        <v>14</v>
      </c>
      <c r="B17" s="7">
        <f>Resumo!O18</f>
        <v>418.71902032246339</v>
      </c>
      <c r="C17" s="4">
        <f t="shared" si="2"/>
        <v>177.71824068140245</v>
      </c>
      <c r="D17" s="11">
        <f t="shared" si="3"/>
        <v>0.56739278914818259</v>
      </c>
    </row>
    <row r="18" spans="1:4" x14ac:dyDescent="0.25">
      <c r="A18" s="3">
        <f>Resumo!B19</f>
        <v>15</v>
      </c>
      <c r="B18" s="7">
        <f>Resumo!O19</f>
        <v>412.50000000000006</v>
      </c>
      <c r="C18" s="4">
        <f t="shared" si="2"/>
        <v>50.581684526560508</v>
      </c>
      <c r="D18" s="11">
        <f t="shared" si="3"/>
        <v>0.30270141688384178</v>
      </c>
    </row>
    <row r="19" spans="1:4" x14ac:dyDescent="0.25">
      <c r="A19" s="3">
        <f>Resumo!B20</f>
        <v>16</v>
      </c>
      <c r="B19" s="7">
        <f>Resumo!O20</f>
        <v>371.28163865692994</v>
      </c>
      <c r="C19" s="4">
        <f t="shared" si="2"/>
        <v>1163.2384145834728</v>
      </c>
      <c r="D19" s="11">
        <f t="shared" si="3"/>
        <v>-1.4516174405376128</v>
      </c>
    </row>
    <row r="20" spans="1:4" ht="15.75" x14ac:dyDescent="0.25">
      <c r="A20" s="23" t="s">
        <v>44</v>
      </c>
      <c r="B20" s="22">
        <f>AVERAGE(B4:B19)</f>
        <v>405.38791981720118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20"/>
  <sheetViews>
    <sheetView zoomScale="112" zoomScaleNormal="112" workbookViewId="0">
      <selection activeCell="D15" sqref="D15"/>
    </sheetView>
  </sheetViews>
  <sheetFormatPr defaultRowHeight="15" x14ac:dyDescent="0.25"/>
  <cols>
    <col min="1" max="1" width="11.42578125" customWidth="1"/>
    <col min="2" max="2" width="27.5703125" customWidth="1"/>
    <col min="5" max="5" width="20.7109375" customWidth="1"/>
    <col min="6" max="6" width="19.7109375" customWidth="1"/>
  </cols>
  <sheetData>
    <row r="3" spans="1:7" x14ac:dyDescent="0.25">
      <c r="A3" s="3" t="s">
        <v>43</v>
      </c>
      <c r="B3" s="3" t="s">
        <v>45</v>
      </c>
      <c r="E3" s="5" t="s">
        <v>55</v>
      </c>
      <c r="F3" s="28">
        <f>B20*1.3</f>
        <v>527.00429576236161</v>
      </c>
    </row>
    <row r="4" spans="1:7" x14ac:dyDescent="0.25">
      <c r="A4" s="24">
        <f>Resumo!B5</f>
        <v>1</v>
      </c>
      <c r="B4" s="25">
        <f>Resumo!O5</f>
        <v>391.73154480379037</v>
      </c>
      <c r="E4" s="5" t="s">
        <v>55</v>
      </c>
      <c r="F4" s="28">
        <f>B20*0.7</f>
        <v>283.77154387204081</v>
      </c>
      <c r="G4" s="1"/>
    </row>
    <row r="5" spans="1:7" x14ac:dyDescent="0.25">
      <c r="A5" s="3">
        <f>Resumo!B6</f>
        <v>2</v>
      </c>
      <c r="B5" s="7">
        <f>Resumo!O6</f>
        <v>418.75470438289187</v>
      </c>
    </row>
    <row r="6" spans="1:7" x14ac:dyDescent="0.25">
      <c r="A6" s="3">
        <f>Resumo!B7</f>
        <v>3</v>
      </c>
      <c r="B6" s="7">
        <f>Resumo!O7</f>
        <v>378.84864545364576</v>
      </c>
    </row>
    <row r="7" spans="1:7" x14ac:dyDescent="0.25">
      <c r="A7" s="3">
        <f>Resumo!B8</f>
        <v>4</v>
      </c>
      <c r="B7" s="7">
        <f>Resumo!O8</f>
        <v>425</v>
      </c>
    </row>
    <row r="8" spans="1:7" x14ac:dyDescent="0.25">
      <c r="A8" s="3">
        <f>Resumo!B9</f>
        <v>5</v>
      </c>
      <c r="B8" s="7">
        <f>Resumo!O9</f>
        <v>401.52491806062915</v>
      </c>
    </row>
    <row r="9" spans="1:7" x14ac:dyDescent="0.25">
      <c r="A9" s="3">
        <f>Resumo!B10</f>
        <v>6</v>
      </c>
      <c r="B9" s="7">
        <f>Resumo!O10</f>
        <v>422.50181651987072</v>
      </c>
    </row>
    <row r="10" spans="1:7" x14ac:dyDescent="0.25">
      <c r="A10" s="3">
        <f>Resumo!B11</f>
        <v>7</v>
      </c>
      <c r="B10" s="7">
        <f>Resumo!O11</f>
        <v>384</v>
      </c>
    </row>
    <row r="11" spans="1:7" x14ac:dyDescent="0.25">
      <c r="A11" s="3">
        <f>Resumo!B12</f>
        <v>8</v>
      </c>
      <c r="B11" s="7">
        <f>Resumo!O12</f>
        <v>380.65365483860307</v>
      </c>
    </row>
    <row r="12" spans="1:7" x14ac:dyDescent="0.25">
      <c r="A12" s="3">
        <f>Resumo!B13</f>
        <v>9</v>
      </c>
      <c r="B12" s="7">
        <f>Resumo!O13</f>
        <v>422.83204916972761</v>
      </c>
    </row>
    <row r="13" spans="1:7" x14ac:dyDescent="0.25">
      <c r="A13" s="3">
        <f>Resumo!B14</f>
        <v>10</v>
      </c>
      <c r="B13" s="7">
        <f>Resumo!O14</f>
        <v>412.5</v>
      </c>
    </row>
    <row r="14" spans="1:7" x14ac:dyDescent="0.25">
      <c r="A14" s="3">
        <f>Resumo!B15</f>
        <v>11</v>
      </c>
      <c r="B14" s="7">
        <f>Resumo!O15</f>
        <v>443.93693896983706</v>
      </c>
    </row>
    <row r="15" spans="1:7" x14ac:dyDescent="0.25">
      <c r="A15" s="3">
        <f>Resumo!B16</f>
        <v>12</v>
      </c>
      <c r="B15" s="7">
        <f>Resumo!O16</f>
        <v>367.74788931249367</v>
      </c>
    </row>
    <row r="16" spans="1:7" x14ac:dyDescent="0.25">
      <c r="A16" s="3">
        <f>Resumo!B17</f>
        <v>13</v>
      </c>
      <c r="B16" s="7">
        <f>Resumo!O17</f>
        <v>433.67389658433603</v>
      </c>
    </row>
    <row r="17" spans="1:2" x14ac:dyDescent="0.25">
      <c r="A17" s="3">
        <f>Resumo!B18</f>
        <v>14</v>
      </c>
      <c r="B17" s="7">
        <f>Resumo!O18</f>
        <v>418.71902032246339</v>
      </c>
    </row>
    <row r="18" spans="1:2" x14ac:dyDescent="0.25">
      <c r="A18" s="3">
        <f>Resumo!B19</f>
        <v>15</v>
      </c>
      <c r="B18" s="7">
        <f>Resumo!O19</f>
        <v>412.50000000000006</v>
      </c>
    </row>
    <row r="19" spans="1:2" x14ac:dyDescent="0.25">
      <c r="A19" s="3">
        <f>Resumo!B20</f>
        <v>16</v>
      </c>
      <c r="B19" s="7">
        <f>Resumo!O20</f>
        <v>371.28163865692994</v>
      </c>
    </row>
    <row r="20" spans="1:2" ht="15.75" x14ac:dyDescent="0.25">
      <c r="A20" s="23" t="s">
        <v>44</v>
      </c>
      <c r="B20" s="22">
        <f>AVERAGE(B4:B19)</f>
        <v>405.38791981720118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J22"/>
  <sheetViews>
    <sheetView zoomScale="112" zoomScaleNormal="112" workbookViewId="0">
      <selection activeCell="B21" sqref="B21"/>
    </sheetView>
  </sheetViews>
  <sheetFormatPr defaultRowHeight="15" x14ac:dyDescent="0.25"/>
  <cols>
    <col min="1" max="1" width="11.42578125" customWidth="1"/>
    <col min="2" max="2" width="27.5703125" customWidth="1"/>
    <col min="3" max="3" width="15" customWidth="1"/>
    <col min="4" max="4" width="23.28515625" customWidth="1"/>
    <col min="7" max="7" width="23.85546875" customWidth="1"/>
    <col min="8" max="9" width="6.85546875" customWidth="1"/>
  </cols>
  <sheetData>
    <row r="3" spans="1:10" ht="14.25" customHeight="1" x14ac:dyDescent="0.25">
      <c r="A3" s="3" t="s">
        <v>43</v>
      </c>
      <c r="B3" s="3" t="s">
        <v>45</v>
      </c>
      <c r="C3" s="3" t="s">
        <v>46</v>
      </c>
      <c r="D3" s="3" t="s">
        <v>48</v>
      </c>
      <c r="G3" s="10" t="s">
        <v>47</v>
      </c>
      <c r="H3" s="10">
        <f>_xlfn.STDEV.S(B4:B19)</f>
        <v>23.495364693083207</v>
      </c>
    </row>
    <row r="4" spans="1:10" x14ac:dyDescent="0.25">
      <c r="A4" s="24">
        <f>Resumo!B5</f>
        <v>1</v>
      </c>
      <c r="B4" s="25">
        <f>Resumo!O5</f>
        <v>391.73154480379037</v>
      </c>
      <c r="C4" s="26">
        <f>(B4-$B$20)^2</f>
        <v>186.49657850691108</v>
      </c>
      <c r="D4" s="11">
        <f>(B4-$B$20)/$H$3</f>
        <v>-0.58123698830821324</v>
      </c>
      <c r="G4" s="10" t="s">
        <v>56</v>
      </c>
      <c r="H4" s="10">
        <f>H3*2</f>
        <v>46.990729386166414</v>
      </c>
      <c r="J4" s="1"/>
    </row>
    <row r="5" spans="1:10" x14ac:dyDescent="0.25">
      <c r="A5" s="3">
        <f>Resumo!B6</f>
        <v>2</v>
      </c>
      <c r="B5" s="7">
        <f>Resumo!O6</f>
        <v>418.75470438289187</v>
      </c>
      <c r="C5" s="4">
        <f>(B5-$B$20)^2</f>
        <v>178.67092962558695</v>
      </c>
      <c r="D5" s="11">
        <f>(B5-$B$20)/$H$3</f>
        <v>0.56891155937774129</v>
      </c>
    </row>
    <row r="6" spans="1:10" x14ac:dyDescent="0.25">
      <c r="A6" s="3">
        <f>Resumo!B7</f>
        <v>3</v>
      </c>
      <c r="B6" s="7">
        <f>Resumo!O7</f>
        <v>378.84864545364576</v>
      </c>
      <c r="C6" s="4">
        <f>(B6-$B$20)^2</f>
        <v>704.33308374407</v>
      </c>
      <c r="D6" s="11">
        <f>(B6-$B$20)/$H$3</f>
        <v>-1.1295536251611498</v>
      </c>
    </row>
    <row r="7" spans="1:10" x14ac:dyDescent="0.25">
      <c r="A7" s="3">
        <f>Resumo!B8</f>
        <v>4</v>
      </c>
      <c r="B7" s="7">
        <f>Resumo!O8</f>
        <v>425</v>
      </c>
      <c r="C7" s="4">
        <f>(B7-$B$20)^2</f>
        <v>384.63368909653019</v>
      </c>
      <c r="D7" s="11">
        <f>(B7-$B$20)/$H$3</f>
        <v>0.83472124987157204</v>
      </c>
    </row>
    <row r="8" spans="1:10" x14ac:dyDescent="0.25">
      <c r="A8" s="3">
        <f>Resumo!B9</f>
        <v>5</v>
      </c>
      <c r="B8" s="7">
        <f>Resumo!O9</f>
        <v>401.52491806062915</v>
      </c>
      <c r="C8" s="4">
        <f t="shared" ref="C8:C19" si="0">(B8-$B$20)^2</f>
        <v>14.922782571278606</v>
      </c>
      <c r="D8" s="11">
        <f t="shared" ref="D8:D19" si="1">(B8-$B$20)/$H$3</f>
        <v>-0.16441548394902167</v>
      </c>
    </row>
    <row r="9" spans="1:10" x14ac:dyDescent="0.25">
      <c r="A9" s="3">
        <f>Resumo!B10</f>
        <v>6</v>
      </c>
      <c r="B9" s="7">
        <f>Resumo!O10</f>
        <v>422.50181651987072</v>
      </c>
      <c r="C9" s="4">
        <f t="shared" si="0"/>
        <v>292.88546034964321</v>
      </c>
      <c r="D9" s="11">
        <f t="shared" si="1"/>
        <v>0.72839459724188449</v>
      </c>
    </row>
    <row r="10" spans="1:10" x14ac:dyDescent="0.25">
      <c r="A10" s="3">
        <f>Resumo!B11</f>
        <v>7</v>
      </c>
      <c r="B10" s="7">
        <f>Resumo!O11</f>
        <v>384</v>
      </c>
      <c r="C10" s="4">
        <f t="shared" si="0"/>
        <v>457.44311410702693</v>
      </c>
      <c r="D10" s="11">
        <f t="shared" si="1"/>
        <v>-0.9103038023281913</v>
      </c>
    </row>
    <row r="11" spans="1:10" x14ac:dyDescent="0.25">
      <c r="A11" s="3">
        <f>Resumo!B12</f>
        <v>8</v>
      </c>
      <c r="B11" s="7">
        <f>Resumo!O12</f>
        <v>380.65365483860307</v>
      </c>
      <c r="C11" s="4">
        <f t="shared" si="0"/>
        <v>611.78386403150478</v>
      </c>
      <c r="D11" s="11">
        <f t="shared" si="1"/>
        <v>-1.0527295618390473</v>
      </c>
    </row>
    <row r="12" spans="1:10" x14ac:dyDescent="0.25">
      <c r="A12" s="3">
        <f>Resumo!B13</f>
        <v>9</v>
      </c>
      <c r="B12" s="7">
        <f>Resumo!O13</f>
        <v>422.83204916972761</v>
      </c>
      <c r="C12" s="4">
        <f t="shared" si="0"/>
        <v>304.29764886767424</v>
      </c>
      <c r="D12" s="11">
        <f t="shared" si="1"/>
        <v>0.74244982277980143</v>
      </c>
    </row>
    <row r="13" spans="1:10" x14ac:dyDescent="0.25">
      <c r="A13" s="3">
        <f>Resumo!B14</f>
        <v>10</v>
      </c>
      <c r="B13" s="7">
        <f>Resumo!O14</f>
        <v>412.5</v>
      </c>
      <c r="C13" s="4">
        <f t="shared" si="0"/>
        <v>50.581684526559698</v>
      </c>
      <c r="D13" s="11">
        <f t="shared" si="1"/>
        <v>0.30270141688383934</v>
      </c>
    </row>
    <row r="14" spans="1:10" x14ac:dyDescent="0.25">
      <c r="A14" s="3">
        <f>Resumo!B15</f>
        <v>11</v>
      </c>
      <c r="B14" s="7">
        <f>Resumo!O15</f>
        <v>443.93693896983706</v>
      </c>
      <c r="C14" s="4">
        <f t="shared" si="0"/>
        <v>1486.0268776302878</v>
      </c>
      <c r="D14" s="11">
        <f t="shared" si="1"/>
        <v>1.6407074185141</v>
      </c>
    </row>
    <row r="15" spans="1:10" x14ac:dyDescent="0.25">
      <c r="A15" s="3">
        <f>Resumo!B16</f>
        <v>12</v>
      </c>
      <c r="B15" s="7">
        <f>Resumo!O16</f>
        <v>367.74788931249367</v>
      </c>
      <c r="C15" s="4">
        <f t="shared" si="0"/>
        <v>1416.7718963953118</v>
      </c>
      <c r="D15" s="11">
        <f t="shared" si="1"/>
        <v>-1.6020194194214123</v>
      </c>
    </row>
    <row r="16" spans="1:10" x14ac:dyDescent="0.25">
      <c r="A16" s="3">
        <f>Resumo!B17</f>
        <v>13</v>
      </c>
      <c r="B16" s="7">
        <f>Resumo!O17</f>
        <v>433.67389658433603</v>
      </c>
      <c r="C16" s="4">
        <f t="shared" si="0"/>
        <v>800.09648167089279</v>
      </c>
      <c r="D16" s="11">
        <f t="shared" si="1"/>
        <v>1.2038960508436778</v>
      </c>
    </row>
    <row r="17" spans="1:4" x14ac:dyDescent="0.25">
      <c r="A17" s="3">
        <f>Resumo!B18</f>
        <v>14</v>
      </c>
      <c r="B17" s="7">
        <f>Resumo!O18</f>
        <v>418.71902032246339</v>
      </c>
      <c r="C17" s="4">
        <f t="shared" si="0"/>
        <v>177.71824068140245</v>
      </c>
      <c r="D17" s="11">
        <f t="shared" si="1"/>
        <v>0.56739278914818259</v>
      </c>
    </row>
    <row r="18" spans="1:4" x14ac:dyDescent="0.25">
      <c r="A18" s="3">
        <f>Resumo!B19</f>
        <v>15</v>
      </c>
      <c r="B18" s="7">
        <f>Resumo!O19</f>
        <v>412.50000000000006</v>
      </c>
      <c r="C18" s="4">
        <f t="shared" si="0"/>
        <v>50.581684526560508</v>
      </c>
      <c r="D18" s="11">
        <f t="shared" si="1"/>
        <v>0.30270141688384178</v>
      </c>
    </row>
    <row r="19" spans="1:4" x14ac:dyDescent="0.25">
      <c r="A19" s="3">
        <f>Resumo!B20</f>
        <v>16</v>
      </c>
      <c r="B19" s="7">
        <f>Resumo!O20</f>
        <v>371.28163865692994</v>
      </c>
      <c r="C19" s="4">
        <f t="shared" si="0"/>
        <v>1163.2384145834728</v>
      </c>
      <c r="D19" s="11">
        <f t="shared" si="1"/>
        <v>-1.4516174405376128</v>
      </c>
    </row>
    <row r="20" spans="1:4" ht="15.75" x14ac:dyDescent="0.25">
      <c r="A20" s="23" t="s">
        <v>44</v>
      </c>
      <c r="B20" s="22">
        <f>AVERAGE(B4:B19)</f>
        <v>405.38791981720118</v>
      </c>
    </row>
    <row r="21" spans="1:4" x14ac:dyDescent="0.25">
      <c r="B21" s="29">
        <f>B20-H4</f>
        <v>358.39719043103474</v>
      </c>
    </row>
    <row r="22" spans="1:4" x14ac:dyDescent="0.25">
      <c r="B22" s="29">
        <f>B20+H4</f>
        <v>452.37864920336762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18"/>
  <sheetViews>
    <sheetView workbookViewId="0">
      <selection activeCell="B4" sqref="B4"/>
    </sheetView>
  </sheetViews>
  <sheetFormatPr defaultRowHeight="15" x14ac:dyDescent="0.25"/>
  <cols>
    <col min="2" max="2" width="76.7109375" customWidth="1"/>
  </cols>
  <sheetData>
    <row r="1" spans="2:7" x14ac:dyDescent="0.25">
      <c r="E1" s="27" t="s">
        <v>52</v>
      </c>
      <c r="F1" s="27" t="s">
        <v>53</v>
      </c>
      <c r="G1" s="27" t="s">
        <v>54</v>
      </c>
    </row>
    <row r="3" spans="2:7" x14ac:dyDescent="0.25">
      <c r="B3" s="5" t="s">
        <v>39</v>
      </c>
      <c r="C3" s="5"/>
    </row>
    <row r="4" spans="2:7" x14ac:dyDescent="0.25">
      <c r="B4" s="5" t="s">
        <v>49</v>
      </c>
      <c r="C4" s="5"/>
    </row>
    <row r="5" spans="2:7" x14ac:dyDescent="0.25">
      <c r="B5" s="5" t="s">
        <v>50</v>
      </c>
      <c r="C5" s="5"/>
    </row>
    <row r="6" spans="2:7" x14ac:dyDescent="0.25">
      <c r="B6" s="5" t="s">
        <v>51</v>
      </c>
      <c r="C6" s="5"/>
    </row>
    <row r="7" spans="2:7" x14ac:dyDescent="0.25">
      <c r="B7" s="5" t="s">
        <v>57</v>
      </c>
      <c r="C7" s="5"/>
    </row>
    <row r="8" spans="2:7" x14ac:dyDescent="0.25">
      <c r="B8" s="5" t="s">
        <v>58</v>
      </c>
      <c r="C8" s="5"/>
    </row>
    <row r="9" spans="2:7" x14ac:dyDescent="0.25">
      <c r="B9" s="5" t="s">
        <v>59</v>
      </c>
      <c r="C9" s="5"/>
    </row>
    <row r="10" spans="2:7" x14ac:dyDescent="0.25">
      <c r="B10" s="5"/>
      <c r="C10" s="5"/>
    </row>
    <row r="11" spans="2:7" x14ac:dyDescent="0.25">
      <c r="B11" s="5"/>
      <c r="C11" s="5"/>
    </row>
    <row r="12" spans="2:7" x14ac:dyDescent="0.25">
      <c r="B12" s="5"/>
      <c r="C12" s="5"/>
    </row>
    <row r="13" spans="2:7" x14ac:dyDescent="0.25">
      <c r="B13" s="5"/>
      <c r="C13" s="5"/>
    </row>
    <row r="14" spans="2:7" x14ac:dyDescent="0.25">
      <c r="B14" s="5"/>
      <c r="C14" s="5"/>
    </row>
    <row r="15" spans="2:7" x14ac:dyDescent="0.25">
      <c r="B15" s="5"/>
      <c r="C15" s="5"/>
    </row>
    <row r="16" spans="2:7" x14ac:dyDescent="0.25">
      <c r="B16" s="5"/>
      <c r="C16" s="5"/>
    </row>
    <row r="17" spans="2:3" x14ac:dyDescent="0.25">
      <c r="B17" s="5"/>
      <c r="C17" s="5"/>
    </row>
    <row r="18" spans="2:3" x14ac:dyDescent="0.25">
      <c r="B18" s="5"/>
      <c r="C18" s="5"/>
    </row>
  </sheetData>
  <dataValidations count="1">
    <dataValidation type="list" allowBlank="1" showInputMessage="1" showErrorMessage="1" sqref="C3:C18" xr:uid="{00000000-0002-0000-0600-000000000000}">
      <formula1>$E$1:$G$1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Resumo</vt:lpstr>
      <vt:lpstr>Ft de área</vt:lpstr>
      <vt:lpstr>Ft Transposição</vt:lpstr>
      <vt:lpstr>Chauvenet</vt:lpstr>
      <vt:lpstr>Média</vt:lpstr>
      <vt:lpstr>Desvio Padrão</vt:lpstr>
      <vt:lpstr>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de Lima Soares</dc:creator>
  <cp:lastModifiedBy>eduardo</cp:lastModifiedBy>
  <dcterms:created xsi:type="dcterms:W3CDTF">2019-08-26T02:12:11Z</dcterms:created>
  <dcterms:modified xsi:type="dcterms:W3CDTF">2020-08-05T19:26:14Z</dcterms:modified>
</cp:coreProperties>
</file>