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d.docs.live.net/d74584feed74e9bf/CÍVEL NA PRÁTICA/CURSO DE DIREITO BANCÁRIO/1-FATURANDO COM A ADV BANCÁRIA_1 TURMA/material do curso finalizado/"/>
    </mc:Choice>
  </mc:AlternateContent>
  <xr:revisionPtr revIDLastSave="209" documentId="8_{4BAC83FF-BA11-48EE-A39C-773928A6F4E2}" xr6:coauthVersionLast="47" xr6:coauthVersionMax="47" xr10:uidLastSave="{43DFAC5F-8D24-49C4-90B5-D0A2520A9F9D}"/>
  <bookViews>
    <workbookView xWindow="-108" yWindow="-108" windowWidth="23256" windowHeight="12576" firstSheet="1" activeTab="4" xr2:uid="{00000000-000D-0000-FFFF-FFFF00000000}"/>
  </bookViews>
  <sheets>
    <sheet name="DADOS DO CONTRATO E CAPITALIZ" sheetId="1" r:id="rId1"/>
    <sheet name="tabela price_FINANCEIRA" sheetId="4" r:id="rId2"/>
    <sheet name="juros simples_BACEN" sheetId="8" r:id="rId3"/>
    <sheet name="diferenças" sheetId="6" r:id="rId4"/>
    <sheet name="RESUMO FINAL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8" l="1"/>
  <c r="B34" i="1"/>
  <c r="F24" i="7"/>
  <c r="F23" i="7"/>
  <c r="F19" i="7"/>
  <c r="F12" i="7"/>
  <c r="F13" i="7"/>
  <c r="F14" i="7"/>
  <c r="F15" i="7"/>
  <c r="F11" i="7"/>
  <c r="H12" i="6"/>
  <c r="G12" i="6"/>
  <c r="G14" i="6"/>
  <c r="G13" i="6"/>
  <c r="G11" i="6"/>
  <c r="F20" i="6"/>
  <c r="E20" i="6"/>
  <c r="H9" i="8"/>
  <c r="F21" i="8"/>
  <c r="F22" i="8"/>
  <c r="F23" i="8"/>
  <c r="F24" i="8"/>
  <c r="F25" i="8"/>
  <c r="F26" i="8"/>
  <c r="F27" i="8"/>
  <c r="F20" i="8"/>
  <c r="C21" i="8"/>
  <c r="C22" i="8"/>
  <c r="C23" i="8"/>
  <c r="C24" i="8"/>
  <c r="C25" i="8"/>
  <c r="C26" i="8"/>
  <c r="C27" i="8"/>
  <c r="H39" i="1" l="1"/>
  <c r="D19" i="8"/>
  <c r="D15" i="8"/>
  <c r="D20" i="8" s="1"/>
  <c r="D21" i="8" s="1"/>
  <c r="D22" i="8" s="1"/>
  <c r="D23" i="8" s="1"/>
  <c r="D24" i="8" s="1"/>
  <c r="D25" i="8" s="1"/>
  <c r="D26" i="8" s="1"/>
  <c r="D27" i="8" s="1"/>
  <c r="H14" i="8"/>
  <c r="D13" i="8"/>
  <c r="B13" i="8"/>
  <c r="H12" i="8"/>
  <c r="B12" i="8"/>
  <c r="B11" i="8"/>
  <c r="B10" i="8"/>
  <c r="D9" i="8"/>
  <c r="B9" i="8"/>
  <c r="H8" i="8"/>
  <c r="K9" i="8" s="1"/>
  <c r="D8" i="8"/>
  <c r="B8" i="8"/>
  <c r="H7" i="8"/>
  <c r="D7" i="8"/>
  <c r="H5" i="8"/>
  <c r="C5" i="8"/>
  <c r="C4" i="8"/>
  <c r="C3" i="8"/>
  <c r="F5" i="7"/>
  <c r="F4" i="7"/>
  <c r="E11" i="7"/>
  <c r="E12" i="7"/>
  <c r="E13" i="7"/>
  <c r="E14" i="7"/>
  <c r="E15" i="7"/>
  <c r="E10" i="7"/>
  <c r="B11" i="7"/>
  <c r="B12" i="7"/>
  <c r="B13" i="7"/>
  <c r="B14" i="7"/>
  <c r="B15" i="7"/>
  <c r="B10" i="7"/>
  <c r="B9" i="6"/>
  <c r="B10" i="6"/>
  <c r="B11" i="6"/>
  <c r="B12" i="6"/>
  <c r="B13" i="6"/>
  <c r="B8" i="6"/>
  <c r="B9" i="4"/>
  <c r="B10" i="4"/>
  <c r="B11" i="4"/>
  <c r="B12" i="4"/>
  <c r="B13" i="4"/>
  <c r="B8" i="4"/>
  <c r="C25" i="1"/>
  <c r="C23" i="7"/>
  <c r="C24" i="7"/>
  <c r="F6" i="1"/>
  <c r="F6" i="7" s="1"/>
  <c r="C3" i="7"/>
  <c r="C4" i="7"/>
  <c r="C5" i="7"/>
  <c r="C19" i="1"/>
  <c r="D14" i="8" l="1"/>
  <c r="G9" i="4"/>
  <c r="H34" i="1"/>
  <c r="H19" i="8" l="1"/>
  <c r="K8" i="8"/>
  <c r="K10" i="8" s="1"/>
  <c r="E20" i="8" s="1"/>
  <c r="E21" i="8" s="1"/>
  <c r="G20" i="8"/>
  <c r="H20" i="8" s="1"/>
  <c r="G11" i="4"/>
  <c r="H36" i="1"/>
  <c r="C29" i="7"/>
  <c r="C26" i="7"/>
  <c r="C20" i="7"/>
  <c r="F20" i="7" s="1"/>
  <c r="C19" i="7"/>
  <c r="C10" i="7"/>
  <c r="F10" i="7" s="1"/>
  <c r="C11" i="7"/>
  <c r="C12" i="7"/>
  <c r="C13" i="7"/>
  <c r="C14" i="7"/>
  <c r="C15" i="7"/>
  <c r="C9" i="7"/>
  <c r="F9" i="7" s="1"/>
  <c r="H13" i="8" l="1"/>
  <c r="E22" i="8"/>
  <c r="G21" i="8"/>
  <c r="H21" i="8" s="1"/>
  <c r="C17" i="7"/>
  <c r="C19" i="6"/>
  <c r="C15" i="6"/>
  <c r="F26" i="7"/>
  <c r="C13" i="6"/>
  <c r="C12" i="6"/>
  <c r="C11" i="6"/>
  <c r="C10" i="6"/>
  <c r="C9" i="6"/>
  <c r="G8" i="6"/>
  <c r="C8" i="6"/>
  <c r="G7" i="6"/>
  <c r="C7" i="6"/>
  <c r="H5" i="6"/>
  <c r="C5" i="6"/>
  <c r="C4" i="6"/>
  <c r="C3" i="6"/>
  <c r="G12" i="4"/>
  <c r="C19" i="4"/>
  <c r="G5" i="4"/>
  <c r="C5" i="4"/>
  <c r="G13" i="4"/>
  <c r="G8" i="4"/>
  <c r="G7" i="4"/>
  <c r="D20" i="4" s="1"/>
  <c r="D21" i="4" s="1"/>
  <c r="D22" i="4" s="1"/>
  <c r="D23" i="4" s="1"/>
  <c r="D24" i="4" s="1"/>
  <c r="D25" i="4" s="1"/>
  <c r="D26" i="4" s="1"/>
  <c r="D27" i="4" s="1"/>
  <c r="C13" i="4"/>
  <c r="C12" i="4"/>
  <c r="C11" i="4"/>
  <c r="C10" i="4"/>
  <c r="C9" i="4"/>
  <c r="C8" i="4"/>
  <c r="C7" i="4"/>
  <c r="C4" i="4"/>
  <c r="C3" i="4"/>
  <c r="C15" i="4"/>
  <c r="C20" i="4" s="1"/>
  <c r="C21" i="4" s="1"/>
  <c r="C22" i="4" s="1"/>
  <c r="C23" i="4" s="1"/>
  <c r="C24" i="4" s="1"/>
  <c r="C25" i="4" s="1"/>
  <c r="C26" i="4" s="1"/>
  <c r="C27" i="4" s="1"/>
  <c r="H40" i="1"/>
  <c r="C15" i="1"/>
  <c r="G22" i="8" l="1"/>
  <c r="H22" i="8" s="1"/>
  <c r="E23" i="8"/>
  <c r="F17" i="7"/>
  <c r="C20" i="6"/>
  <c r="C21" i="6" s="1"/>
  <c r="C22" i="6" s="1"/>
  <c r="C23" i="6" s="1"/>
  <c r="C24" i="6" s="1"/>
  <c r="C25" i="6" s="1"/>
  <c r="C26" i="6" s="1"/>
  <c r="C27" i="6" s="1"/>
  <c r="C27" i="7"/>
  <c r="C21" i="7"/>
  <c r="C31" i="7" s="1"/>
  <c r="C29" i="1"/>
  <c r="G19" i="4"/>
  <c r="G14" i="4"/>
  <c r="G9" i="6"/>
  <c r="D20" i="6"/>
  <c r="D24" i="6"/>
  <c r="D23" i="6"/>
  <c r="D22" i="6"/>
  <c r="D27" i="6"/>
  <c r="D21" i="6"/>
  <c r="D26" i="6"/>
  <c r="D25" i="6"/>
  <c r="C14" i="6"/>
  <c r="C14" i="4"/>
  <c r="G23" i="8" l="1"/>
  <c r="H23" i="8" s="1"/>
  <c r="E24" i="8"/>
  <c r="E20" i="4"/>
  <c r="F20" i="4" s="1"/>
  <c r="G20" i="4" s="1"/>
  <c r="E21" i="4" s="1"/>
  <c r="G24" i="8" l="1"/>
  <c r="H24" i="8" s="1"/>
  <c r="E25" i="8"/>
  <c r="F21" i="7"/>
  <c r="F21" i="4"/>
  <c r="G21" i="4" s="1"/>
  <c r="G25" i="8" l="1"/>
  <c r="H25" i="8" s="1"/>
  <c r="E26" i="8"/>
  <c r="F32" i="7"/>
  <c r="F31" i="7"/>
  <c r="E21" i="6"/>
  <c r="F21" i="6" s="1"/>
  <c r="E22" i="4"/>
  <c r="F22" i="4" s="1"/>
  <c r="G22" i="4" s="1"/>
  <c r="E23" i="4" s="1"/>
  <c r="F23" i="4" s="1"/>
  <c r="G23" i="4" s="1"/>
  <c r="E24" i="4" s="1"/>
  <c r="G26" i="8" l="1"/>
  <c r="H26" i="8" s="1"/>
  <c r="E27" i="8"/>
  <c r="E22" i="6"/>
  <c r="F22" i="6" s="1"/>
  <c r="F24" i="4"/>
  <c r="G24" i="4" s="1"/>
  <c r="E25" i="4" s="1"/>
  <c r="G27" i="8" l="1"/>
  <c r="H27" i="8" s="1"/>
  <c r="E23" i="6"/>
  <c r="E24" i="6" s="1"/>
  <c r="F25" i="4"/>
  <c r="G25" i="4" s="1"/>
  <c r="E26" i="4" s="1"/>
  <c r="F23" i="6" l="1"/>
  <c r="F24" i="6"/>
  <c r="E25" i="6"/>
  <c r="F26" i="4"/>
  <c r="G26" i="4" s="1"/>
  <c r="E27" i="4" s="1"/>
  <c r="E26" i="6" l="1"/>
  <c r="F25" i="6"/>
  <c r="F27" i="4"/>
  <c r="G27" i="4" s="1"/>
  <c r="E27" i="6" l="1"/>
  <c r="F26" i="6"/>
  <c r="F27" i="6" l="1"/>
  <c r="F68" i="6" l="1"/>
  <c r="F70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Homero Lupo Medeiros</author>
  </authors>
  <commentList>
    <comment ref="E18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Homero Lupo Medeiros:</t>
        </r>
        <r>
          <rPr>
            <sz val="9"/>
            <color indexed="81"/>
            <rFont val="Segoe UI"/>
            <family val="2"/>
          </rPr>
          <t xml:space="preserve">
Multiplicar o saldo devedor anterior pela taxa de juros.
</t>
        </r>
      </text>
    </comment>
    <comment ref="F18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Homero Lupo Medeiros:</t>
        </r>
        <r>
          <rPr>
            <sz val="9"/>
            <color indexed="81"/>
            <rFont val="Segoe UI"/>
            <family val="2"/>
          </rPr>
          <t xml:space="preserve">
Subtração do valor da prestação do mês dos juros.</t>
        </r>
      </text>
    </comment>
    <comment ref="C19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 xml:space="preserve">Homero Lupo Medeiros:
</t>
        </r>
        <r>
          <rPr>
            <sz val="9"/>
            <color indexed="81"/>
            <rFont val="Segoe UI"/>
            <family val="2"/>
          </rPr>
          <t>data de celebração do contrato.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20" authorId="0" shapeId="0" xr:uid="{00000000-0006-0000-0100-000004000000}">
      <text>
        <r>
          <rPr>
            <b/>
            <sz val="9"/>
            <color indexed="81"/>
            <rFont val="Segoe UI"/>
            <family val="2"/>
          </rPr>
          <t>Homero Lupo Medeiros:</t>
        </r>
        <r>
          <rPr>
            <sz val="9"/>
            <color indexed="81"/>
            <rFont val="Segoe UI"/>
            <family val="2"/>
          </rPr>
          <t xml:space="preserve">
Data de vencimento da primeira parcela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Homero Lupo Medeiros</author>
  </authors>
  <commentList>
    <comment ref="F18" authorId="0" shapeId="0" xr:uid="{50C66C01-AB0A-4615-BBD9-898A77B5F789}">
      <text>
        <r>
          <rPr>
            <b/>
            <sz val="9"/>
            <color indexed="81"/>
            <rFont val="Segoe UI"/>
            <family val="2"/>
          </rPr>
          <t>Homero Lupo Medeiros:</t>
        </r>
        <r>
          <rPr>
            <sz val="9"/>
            <color indexed="81"/>
            <rFont val="Segoe UI"/>
            <family val="2"/>
          </rPr>
          <t xml:space="preserve">
Multiplicar o saldo devedor anterior pela taxa de juros.
</t>
        </r>
      </text>
    </comment>
    <comment ref="G18" authorId="0" shapeId="0" xr:uid="{886CA79D-1CBA-4974-8E82-16A2F4171BC9}">
      <text>
        <r>
          <rPr>
            <b/>
            <sz val="9"/>
            <color indexed="81"/>
            <rFont val="Segoe UI"/>
            <family val="2"/>
          </rPr>
          <t>Homero Lupo Medeiros:</t>
        </r>
        <r>
          <rPr>
            <sz val="9"/>
            <color indexed="81"/>
            <rFont val="Segoe UI"/>
            <family val="2"/>
          </rPr>
          <t xml:space="preserve">
Subtração do valor da prestação do mês dos juros.</t>
        </r>
      </text>
    </comment>
    <comment ref="D19" authorId="0" shapeId="0" xr:uid="{6AEB9FF3-8AAB-4FD1-B0FC-E4AC8D0CA7EA}">
      <text>
        <r>
          <rPr>
            <b/>
            <sz val="9"/>
            <color indexed="81"/>
            <rFont val="Segoe UI"/>
            <family val="2"/>
          </rPr>
          <t xml:space="preserve">Homero Lupo Medeiros:
</t>
        </r>
        <r>
          <rPr>
            <sz val="9"/>
            <color indexed="81"/>
            <rFont val="Segoe UI"/>
            <family val="2"/>
          </rPr>
          <t>data de celebração do contrato.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20" authorId="0" shapeId="0" xr:uid="{C82639A6-B4D5-4032-A619-B49EEF6FF8B6}">
      <text>
        <r>
          <rPr>
            <b/>
            <sz val="9"/>
            <color indexed="81"/>
            <rFont val="Segoe UI"/>
            <family val="2"/>
          </rPr>
          <t>Homero Lupo Medeiros:</t>
        </r>
        <r>
          <rPr>
            <sz val="9"/>
            <color indexed="81"/>
            <rFont val="Segoe UI"/>
            <family val="2"/>
          </rPr>
          <t xml:space="preserve">
Data de vencimento da primeira parcela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Homero Lupo Medeiros</author>
  </authors>
  <commentList>
    <comment ref="C19" authorId="0" shapeId="0" xr:uid="{00000000-0006-0000-0300-000003000000}">
      <text>
        <r>
          <rPr>
            <b/>
            <sz val="9"/>
            <color indexed="81"/>
            <rFont val="Segoe UI"/>
            <family val="2"/>
          </rPr>
          <t xml:space="preserve">Homero Lupo Medeiros:
</t>
        </r>
        <r>
          <rPr>
            <sz val="9"/>
            <color indexed="81"/>
            <rFont val="Segoe UI"/>
            <family val="2"/>
          </rPr>
          <t>data de celebração do contrato.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20" authorId="0" shapeId="0" xr:uid="{00000000-0006-0000-0300-000004000000}">
      <text>
        <r>
          <rPr>
            <b/>
            <sz val="9"/>
            <color indexed="81"/>
            <rFont val="Segoe UI"/>
            <family val="2"/>
          </rPr>
          <t>Homero Lupo Medeiros:</t>
        </r>
        <r>
          <rPr>
            <sz val="9"/>
            <color indexed="81"/>
            <rFont val="Segoe UI"/>
            <family val="2"/>
          </rPr>
          <t xml:space="preserve">
Data de vencimento da primeira parcela
</t>
        </r>
      </text>
    </comment>
  </commentList>
</comments>
</file>

<file path=xl/sharedStrings.xml><?xml version="1.0" encoding="utf-8"?>
<sst xmlns="http://schemas.openxmlformats.org/spreadsheetml/2006/main" count="152" uniqueCount="83">
  <si>
    <t>INFORMAÇÕES CONTRATUAIS</t>
  </si>
  <si>
    <t>CONSUMIDOR(A):</t>
  </si>
  <si>
    <t>XXXXXXXX</t>
  </si>
  <si>
    <t>Banco:</t>
  </si>
  <si>
    <t>Data do Contrato:</t>
  </si>
  <si>
    <t>CONTRATO Nº:</t>
  </si>
  <si>
    <t>0000</t>
  </si>
  <si>
    <t>Venc. 1ª Parcela:</t>
  </si>
  <si>
    <t>Última Parcela:</t>
  </si>
  <si>
    <t>Valor liberado:</t>
  </si>
  <si>
    <t>IOF financiado</t>
  </si>
  <si>
    <t>IOF adicional</t>
  </si>
  <si>
    <t>tarifa de avaliação</t>
  </si>
  <si>
    <t>seguro</t>
  </si>
  <si>
    <t>registro no órgão de trânsito</t>
  </si>
  <si>
    <t>Outros:</t>
  </si>
  <si>
    <t>Valor total financiado:</t>
  </si>
  <si>
    <t>Valor da parcela (mensal):</t>
  </si>
  <si>
    <t>Quantidade de parcelas:</t>
  </si>
  <si>
    <t>Valor final a ser pago (sem mora)</t>
  </si>
  <si>
    <t>taxa de juros nominal (mensal):</t>
  </si>
  <si>
    <t>taxa de juros nominal (anual):</t>
  </si>
  <si>
    <t>custo efetivo total (mensal):</t>
  </si>
  <si>
    <t>custo efetivo total (anual):</t>
  </si>
  <si>
    <t>capitalização prevista no contrato:</t>
  </si>
  <si>
    <t>mensal</t>
  </si>
  <si>
    <t>Lucro Bancário</t>
  </si>
  <si>
    <t>CONFERÊNCIA DA TAXA DE JUROS DO CONTRATO</t>
  </si>
  <si>
    <t>CÁLCULO DE TAXAS EQUIVALENTES</t>
  </si>
  <si>
    <t>a.m.</t>
  </si>
  <si>
    <t>tx. Equivalente anual:</t>
  </si>
  <si>
    <t>tx. proporcional ao dia (tx nominal ao mês / 30 dias):</t>
  </si>
  <si>
    <t>Se a capitalização fosse diária, o quadro de taxas seria o seguinte:</t>
  </si>
  <si>
    <t>Análise do  resultado:</t>
  </si>
  <si>
    <r>
      <t xml:space="preserve">Se a </t>
    </r>
    <r>
      <rPr>
        <b/>
        <sz val="11"/>
        <color theme="1"/>
        <rFont val="Calibri"/>
        <family val="2"/>
        <scheme val="minor"/>
      </rPr>
      <t>taxa efetiva mensal equivalente</t>
    </r>
    <r>
      <rPr>
        <sz val="11"/>
        <color theme="1"/>
        <rFont val="Calibri"/>
        <family val="2"/>
        <scheme val="minor"/>
      </rPr>
      <t xml:space="preserve"> encontrada for maior do que a </t>
    </r>
    <r>
      <rPr>
        <b/>
        <sz val="11"/>
        <color theme="1"/>
        <rFont val="Calibri"/>
        <family val="2"/>
        <scheme val="minor"/>
      </rPr>
      <t>nominal</t>
    </r>
    <r>
      <rPr>
        <sz val="11"/>
        <color theme="1"/>
        <rFont val="Calibri"/>
        <family val="2"/>
        <scheme val="minor"/>
      </rPr>
      <t xml:space="preserve"> prevista no contrato, não há capitalização diária no contrato.</t>
    </r>
  </si>
  <si>
    <t>CÁLCULO DO EMPRÉSTIMO PELA TABELA PRICE UTILIZADA PELA INSTITUIÇÃO FINANCEIRA</t>
  </si>
  <si>
    <t>Consumidor(a)</t>
  </si>
  <si>
    <t>Instituição Financeira:</t>
  </si>
  <si>
    <t>Contrato:</t>
  </si>
  <si>
    <t>data do contrato:</t>
  </si>
  <si>
    <t>Valor final a ser pago (sem mora):</t>
  </si>
  <si>
    <t>MEMÓRIA DE CÁLCULO</t>
  </si>
  <si>
    <t>nº parcelas</t>
  </si>
  <si>
    <t>vencimento</t>
  </si>
  <si>
    <t>valor da prestação</t>
  </si>
  <si>
    <t>juros</t>
  </si>
  <si>
    <t>amortização</t>
  </si>
  <si>
    <t>saldo devedor</t>
  </si>
  <si>
    <t>tx. de juros BACEN (mensal):</t>
  </si>
  <si>
    <t>tx. de juros BACEN (anual):</t>
  </si>
  <si>
    <t>CÁLCULO DO VALOR PAGO A MAIOR</t>
  </si>
  <si>
    <t>DIFERENÇA ENTRE AS TAXAS</t>
  </si>
  <si>
    <t>valor pago</t>
  </si>
  <si>
    <t>valor devido</t>
  </si>
  <si>
    <t>diferença</t>
  </si>
  <si>
    <t>valor atualizado pago em excesso</t>
  </si>
  <si>
    <t>valor em dobro a ser recebido</t>
  </si>
  <si>
    <t>RESUMO PARA A REVISÃO DO CONTRATO</t>
  </si>
  <si>
    <t xml:space="preserve">VALOR CONFORME O CONTRATO </t>
  </si>
  <si>
    <t>VALOR APÓS A REVISÃO</t>
  </si>
  <si>
    <t>taxa média do Bacen (mensal):</t>
  </si>
  <si>
    <t>taxa média do Bacen (anual):</t>
  </si>
  <si>
    <t>PERCENTUAL DE EXCESSO DA TAXA CONTRATUAL EM RELAÇÃO À MÉDIA DE MERCADO</t>
  </si>
  <si>
    <t>VALOR COBRADO A MAIOR PELO BANCO</t>
  </si>
  <si>
    <t>P =</t>
  </si>
  <si>
    <t>Parcela</t>
  </si>
  <si>
    <t>K =</t>
  </si>
  <si>
    <t>Valor financiado</t>
  </si>
  <si>
    <t>i  =</t>
  </si>
  <si>
    <t>Taxa de Juro</t>
  </si>
  <si>
    <t>n  =</t>
  </si>
  <si>
    <t xml:space="preserve">Tempo </t>
  </si>
  <si>
    <t>CÁLCULO DA PRESTAÇÃO MENSAL A JUROS SIMPLES</t>
  </si>
  <si>
    <t>Aplicação concreta da fórmula</t>
  </si>
  <si>
    <t>prestação mensal</t>
  </si>
  <si>
    <t>Indíce de Pond.</t>
  </si>
  <si>
    <t>capitalização após a revisão</t>
  </si>
  <si>
    <t>simples</t>
  </si>
  <si>
    <t>CÁLCULO DO EMPRÉSTIMO PELA TAXA MÉDIA DO BACEN - JUROS SIMPLES*</t>
  </si>
  <si>
    <t xml:space="preserve">HUBBE PACHECO, Alceu André. Juros que é simples. Araranguá: 2020, 1ª ed. </t>
  </si>
  <si>
    <t xml:space="preserve">* Cálculo de juros simples elabodoro com base na metodologia do livro: </t>
  </si>
  <si>
    <r>
      <t xml:space="preserve">tx. efetiva </t>
    </r>
    <r>
      <rPr>
        <b/>
        <sz val="11"/>
        <color theme="1"/>
        <rFont val="Calibri"/>
        <family val="2"/>
        <scheme val="minor"/>
      </rPr>
      <t xml:space="preserve">mensal </t>
    </r>
    <r>
      <rPr>
        <sz val="11"/>
        <color theme="1"/>
        <rFont val="Calibri"/>
        <family val="2"/>
        <scheme val="minor"/>
      </rPr>
      <t>equivalente:</t>
    </r>
  </si>
  <si>
    <r>
      <t xml:space="preserve">tx. efetiva </t>
    </r>
    <r>
      <rPr>
        <b/>
        <sz val="11"/>
        <color theme="1"/>
        <rFont val="Calibri"/>
        <family val="2"/>
        <scheme val="minor"/>
      </rPr>
      <t>anual</t>
    </r>
    <r>
      <rPr>
        <sz val="11"/>
        <color theme="1"/>
        <rFont val="Calibri"/>
        <family val="2"/>
        <scheme val="minor"/>
      </rPr>
      <t xml:space="preserve"> equivalente: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</si>
</sst>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0.0000%"/>
    <numFmt numFmtId="165" formatCode="0.00000%"/>
    <numFmt numFmtId="166" formatCode="#,##0_ ;\-#,##0\ "/>
    <numFmt numFmtId="167" formatCode="0.000"/>
    <numFmt numFmtId="169" formatCode="0.0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9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0" xfId="0" applyFont="1"/>
    <xf numFmtId="44" fontId="0" fillId="0" borderId="0" xfId="1" applyFont="1"/>
    <xf numFmtId="0" fontId="2" fillId="2" borderId="0" xfId="0" applyFont="1" applyFill="1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2" fillId="2" borderId="0" xfId="1" applyFont="1" applyFill="1" applyAlignment="1">
      <alignment horizontal="center"/>
    </xf>
    <xf numFmtId="10" fontId="0" fillId="0" borderId="0" xfId="0" applyNumberFormat="1" applyAlignment="1">
      <alignment horizontal="center"/>
    </xf>
    <xf numFmtId="165" fontId="0" fillId="0" borderId="0" xfId="2" applyNumberFormat="1" applyFont="1" applyAlignment="1">
      <alignment horizontal="center"/>
    </xf>
    <xf numFmtId="0" fontId="0" fillId="0" borderId="0" xfId="0" applyAlignment="1">
      <alignment horizontal="justify" vertical="center" wrapText="1"/>
    </xf>
    <xf numFmtId="0" fontId="0" fillId="0" borderId="1" xfId="0" applyBorder="1"/>
    <xf numFmtId="164" fontId="0" fillId="0" borderId="2" xfId="2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1" applyNumberFormat="1" applyFont="1" applyAlignment="1">
      <alignment horizontal="left"/>
    </xf>
    <xf numFmtId="0" fontId="3" fillId="0" borderId="4" xfId="0" applyFont="1" applyBorder="1"/>
    <xf numFmtId="44" fontId="0" fillId="0" borderId="6" xfId="1" applyFont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/>
    <xf numFmtId="49" fontId="0" fillId="0" borderId="3" xfId="1" applyNumberFormat="1" applyFont="1" applyBorder="1" applyAlignment="1">
      <alignment horizontal="left"/>
    </xf>
    <xf numFmtId="0" fontId="0" fillId="0" borderId="3" xfId="0" applyBorder="1" applyAlignment="1">
      <alignment horizontal="center"/>
    </xf>
    <xf numFmtId="44" fontId="0" fillId="0" borderId="10" xfId="1" applyFont="1" applyBorder="1" applyAlignment="1">
      <alignment horizontal="center"/>
    </xf>
    <xf numFmtId="14" fontId="0" fillId="0" borderId="3" xfId="0" applyNumberFormat="1" applyBorder="1" applyAlignment="1">
      <alignment horizontal="left"/>
    </xf>
    <xf numFmtId="14" fontId="0" fillId="0" borderId="10" xfId="1" applyNumberFormat="1" applyFont="1" applyBorder="1" applyAlignment="1">
      <alignment horizontal="center"/>
    </xf>
    <xf numFmtId="0" fontId="0" fillId="0" borderId="8" xfId="1" applyNumberFormat="1" applyFon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3" fillId="0" borderId="1" xfId="0" applyFont="1" applyBorder="1"/>
    <xf numFmtId="0" fontId="0" fillId="0" borderId="2" xfId="0" applyBorder="1" applyAlignment="1">
      <alignment horizontal="center"/>
    </xf>
    <xf numFmtId="0" fontId="3" fillId="3" borderId="1" xfId="0" applyFont="1" applyFill="1" applyBorder="1"/>
    <xf numFmtId="44" fontId="0" fillId="3" borderId="2" xfId="1" applyFont="1" applyFill="1" applyBorder="1" applyAlignment="1">
      <alignment horizontal="center"/>
    </xf>
    <xf numFmtId="0" fontId="3" fillId="0" borderId="11" xfId="0" applyFont="1" applyBorder="1"/>
    <xf numFmtId="44" fontId="0" fillId="0" borderId="12" xfId="1" applyFont="1" applyBorder="1" applyAlignment="1">
      <alignment horizontal="center"/>
    </xf>
    <xf numFmtId="0" fontId="3" fillId="0" borderId="13" xfId="0" applyFont="1" applyBorder="1"/>
    <xf numFmtId="44" fontId="0" fillId="0" borderId="14" xfId="1" applyFont="1" applyBorder="1" applyAlignment="1">
      <alignment horizontal="center"/>
    </xf>
    <xf numFmtId="0" fontId="4" fillId="0" borderId="13" xfId="0" applyFont="1" applyBorder="1"/>
    <xf numFmtId="44" fontId="7" fillId="0" borderId="14" xfId="1" applyFont="1" applyFill="1" applyBorder="1" applyAlignment="1">
      <alignment horizontal="center"/>
    </xf>
    <xf numFmtId="0" fontId="3" fillId="0" borderId="15" xfId="0" applyFont="1" applyBorder="1"/>
    <xf numFmtId="14" fontId="0" fillId="0" borderId="16" xfId="0" applyNumberForma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0" fontId="0" fillId="0" borderId="14" xfId="1" applyNumberFormat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11" xfId="0" applyBorder="1" applyAlignment="1">
      <alignment horizontal="center"/>
    </xf>
    <xf numFmtId="14" fontId="0" fillId="0" borderId="17" xfId="0" applyNumberFormat="1" applyBorder="1" applyAlignment="1">
      <alignment horizontal="center"/>
    </xf>
    <xf numFmtId="44" fontId="0" fillId="0" borderId="17" xfId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0" borderId="19" xfId="0" applyNumberFormat="1" applyBorder="1" applyAlignment="1">
      <alignment horizontal="center"/>
    </xf>
    <xf numFmtId="44" fontId="0" fillId="0" borderId="19" xfId="1" applyFont="1" applyBorder="1"/>
    <xf numFmtId="0" fontId="0" fillId="0" borderId="19" xfId="0" applyBorder="1" applyAlignment="1">
      <alignment horizontal="center"/>
    </xf>
    <xf numFmtId="44" fontId="0" fillId="0" borderId="19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14" fontId="8" fillId="0" borderId="0" xfId="0" applyNumberFormat="1" applyFont="1" applyAlignment="1">
      <alignment horizontal="center"/>
    </xf>
    <xf numFmtId="44" fontId="7" fillId="0" borderId="14" xfId="1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7" fillId="0" borderId="0" xfId="1" applyFont="1" applyFill="1" applyBorder="1" applyAlignment="1">
      <alignment horizontal="center"/>
    </xf>
    <xf numFmtId="44" fontId="3" fillId="5" borderId="0" xfId="0" applyNumberFormat="1" applyFont="1" applyFill="1"/>
    <xf numFmtId="10" fontId="0" fillId="0" borderId="0" xfId="2" applyNumberFormat="1" applyFont="1"/>
    <xf numFmtId="165" fontId="0" fillId="0" borderId="0" xfId="2" applyNumberFormat="1" applyFont="1"/>
    <xf numFmtId="9" fontId="0" fillId="0" borderId="0" xfId="0" applyNumberFormat="1"/>
    <xf numFmtId="165" fontId="0" fillId="0" borderId="0" xfId="2" applyNumberFormat="1" applyFont="1" applyFill="1"/>
    <xf numFmtId="8" fontId="0" fillId="0" borderId="0" xfId="1" applyNumberFormat="1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0" xfId="0" applyFont="1" applyAlignment="1">
      <alignment horizontal="center"/>
    </xf>
    <xf numFmtId="10" fontId="9" fillId="0" borderId="0" xfId="0" applyNumberFormat="1" applyFon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44" fontId="0" fillId="0" borderId="8" xfId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164" fontId="12" fillId="0" borderId="9" xfId="2" applyNumberFormat="1" applyFont="1" applyBorder="1" applyAlignment="1">
      <alignment horizontal="right"/>
    </xf>
    <xf numFmtId="165" fontId="0" fillId="0" borderId="2" xfId="2" applyNumberFormat="1" applyFont="1" applyBorder="1" applyAlignment="1">
      <alignment horizontal="center"/>
    </xf>
    <xf numFmtId="0" fontId="0" fillId="0" borderId="7" xfId="0" applyBorder="1"/>
    <xf numFmtId="165" fontId="0" fillId="0" borderId="8" xfId="2" applyNumberFormat="1" applyFont="1" applyBorder="1" applyAlignment="1">
      <alignment horizontal="center"/>
    </xf>
    <xf numFmtId="0" fontId="0" fillId="0" borderId="9" xfId="0" applyBorder="1"/>
    <xf numFmtId="164" fontId="0" fillId="0" borderId="10" xfId="2" applyNumberFormat="1" applyFont="1" applyBorder="1" applyAlignment="1">
      <alignment horizontal="center"/>
    </xf>
    <xf numFmtId="0" fontId="0" fillId="0" borderId="21" xfId="0" applyBorder="1" applyAlignment="1">
      <alignment horizontal="center"/>
    </xf>
    <xf numFmtId="14" fontId="0" fillId="0" borderId="21" xfId="0" applyNumberFormat="1" applyBorder="1" applyAlignment="1">
      <alignment horizontal="center"/>
    </xf>
    <xf numFmtId="44" fontId="0" fillId="0" borderId="21" xfId="1" applyFont="1" applyBorder="1" applyAlignment="1">
      <alignment horizontal="center"/>
    </xf>
    <xf numFmtId="44" fontId="0" fillId="0" borderId="21" xfId="1" applyFont="1" applyBorder="1"/>
    <xf numFmtId="8" fontId="0" fillId="0" borderId="21" xfId="1" applyNumberFormat="1" applyFont="1" applyBorder="1"/>
    <xf numFmtId="44" fontId="0" fillId="0" borderId="21" xfId="0" applyNumberFormat="1" applyBorder="1" applyAlignment="1">
      <alignment horizontal="center"/>
    </xf>
    <xf numFmtId="44" fontId="7" fillId="0" borderId="21" xfId="1" applyFont="1" applyBorder="1" applyAlignment="1">
      <alignment horizontal="center"/>
    </xf>
    <xf numFmtId="7" fontId="7" fillId="0" borderId="21" xfId="1" applyNumberFormat="1" applyFon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14" fontId="2" fillId="0" borderId="0" xfId="0" applyNumberFormat="1" applyFont="1"/>
    <xf numFmtId="8" fontId="0" fillId="0" borderId="19" xfId="1" applyNumberFormat="1" applyFont="1" applyBorder="1" applyAlignment="1">
      <alignment horizontal="center"/>
    </xf>
    <xf numFmtId="44" fontId="2" fillId="4" borderId="0" xfId="1" applyFont="1" applyFill="1" applyAlignment="1"/>
    <xf numFmtId="0" fontId="3" fillId="5" borderId="0" xfId="0" applyFont="1" applyFill="1"/>
    <xf numFmtId="0" fontId="3" fillId="7" borderId="7" xfId="0" applyFont="1" applyFill="1" applyBorder="1" applyAlignment="1">
      <alignment horizontal="center"/>
    </xf>
    <xf numFmtId="10" fontId="9" fillId="7" borderId="7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3" fillId="0" borderId="5" xfId="0" applyFont="1" applyBorder="1"/>
    <xf numFmtId="0" fontId="0" fillId="0" borderId="3" xfId="0" applyBorder="1"/>
    <xf numFmtId="0" fontId="3" fillId="0" borderId="3" xfId="0" applyFont="1" applyBorder="1"/>
    <xf numFmtId="166" fontId="0" fillId="0" borderId="8" xfId="1" applyNumberFormat="1" applyFont="1" applyBorder="1" applyAlignment="1">
      <alignment horizontal="center"/>
    </xf>
    <xf numFmtId="0" fontId="3" fillId="9" borderId="9" xfId="0" applyFont="1" applyFill="1" applyBorder="1"/>
    <xf numFmtId="44" fontId="0" fillId="9" borderId="10" xfId="1" applyFont="1" applyFill="1" applyBorder="1" applyAlignment="1">
      <alignment horizontal="center"/>
    </xf>
    <xf numFmtId="0" fontId="3" fillId="5" borderId="9" xfId="0" applyFont="1" applyFill="1" applyBorder="1"/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0" fillId="3" borderId="1" xfId="0" applyFill="1" applyBorder="1"/>
    <xf numFmtId="44" fontId="0" fillId="3" borderId="2" xfId="0" applyNumberFormat="1" applyFill="1" applyBorder="1" applyAlignment="1">
      <alignment horizontal="center"/>
    </xf>
    <xf numFmtId="0" fontId="15" fillId="11" borderId="5" xfId="0" applyFont="1" applyFill="1" applyBorder="1" applyAlignment="1">
      <alignment vertical="center" wrapText="1"/>
    </xf>
    <xf numFmtId="44" fontId="3" fillId="11" borderId="5" xfId="0" applyNumberFormat="1" applyFont="1" applyFill="1" applyBorder="1"/>
    <xf numFmtId="44" fontId="0" fillId="5" borderId="10" xfId="1" applyFont="1" applyFill="1" applyBorder="1" applyAlignment="1">
      <alignment horizontal="center"/>
    </xf>
    <xf numFmtId="44" fontId="0" fillId="0" borderId="0" xfId="0" applyNumberFormat="1"/>
    <xf numFmtId="44" fontId="0" fillId="0" borderId="21" xfId="1" applyNumberFormat="1" applyFont="1" applyBorder="1"/>
    <xf numFmtId="0" fontId="3" fillId="0" borderId="24" xfId="0" applyFont="1" applyBorder="1"/>
    <xf numFmtId="0" fontId="3" fillId="0" borderId="25" xfId="0" applyFont="1" applyBorder="1"/>
    <xf numFmtId="0" fontId="4" fillId="0" borderId="25" xfId="0" applyFont="1" applyBorder="1"/>
    <xf numFmtId="0" fontId="3" fillId="0" borderId="26" xfId="0" applyFont="1" applyBorder="1"/>
    <xf numFmtId="0" fontId="16" fillId="0" borderId="0" xfId="0" applyFont="1" applyAlignment="1">
      <alignment horizontal="right"/>
    </xf>
    <xf numFmtId="0" fontId="16" fillId="0" borderId="0" xfId="0" applyFont="1"/>
    <xf numFmtId="0" fontId="0" fillId="0" borderId="21" xfId="0" applyBorder="1" applyAlignment="1">
      <alignment horizontal="center" vertical="center" wrapText="1"/>
    </xf>
    <xf numFmtId="14" fontId="0" fillId="0" borderId="21" xfId="0" applyNumberFormat="1" applyBorder="1" applyAlignment="1">
      <alignment horizontal="center" vertical="center" wrapText="1"/>
    </xf>
    <xf numFmtId="44" fontId="0" fillId="0" borderId="2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0" fillId="0" borderId="21" xfId="0" applyNumberFormat="1" applyBorder="1" applyAlignment="1">
      <alignment horizontal="center"/>
    </xf>
    <xf numFmtId="44" fontId="0" fillId="0" borderId="19" xfId="1" applyNumberFormat="1" applyFont="1" applyBorder="1" applyAlignment="1">
      <alignment horizontal="center"/>
    </xf>
    <xf numFmtId="44" fontId="0" fillId="0" borderId="6" xfId="1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6" borderId="20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3" fillId="6" borderId="4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49" fontId="0" fillId="0" borderId="20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49" fontId="0" fillId="0" borderId="5" xfId="0" applyNumberFormat="1" applyBorder="1" applyAlignment="1">
      <alignment horizontal="left"/>
    </xf>
    <xf numFmtId="14" fontId="0" fillId="0" borderId="5" xfId="0" applyNumberFormat="1" applyBorder="1" applyAlignment="1">
      <alignment horizontal="left"/>
    </xf>
    <xf numFmtId="14" fontId="0" fillId="0" borderId="6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4" fontId="0" fillId="0" borderId="8" xfId="0" applyNumberFormat="1" applyBorder="1" applyAlignment="1">
      <alignment horizontal="left"/>
    </xf>
    <xf numFmtId="14" fontId="10" fillId="6" borderId="1" xfId="0" applyNumberFormat="1" applyFont="1" applyFill="1" applyBorder="1" applyAlignment="1">
      <alignment horizontal="center"/>
    </xf>
    <xf numFmtId="14" fontId="10" fillId="6" borderId="20" xfId="0" applyNumberFormat="1" applyFont="1" applyFill="1" applyBorder="1" applyAlignment="1">
      <alignment horizontal="center"/>
    </xf>
    <xf numFmtId="14" fontId="10" fillId="6" borderId="2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4" fontId="2" fillId="2" borderId="0" xfId="0" applyNumberFormat="1" applyFont="1" applyFill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12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9" fontId="0" fillId="0" borderId="6" xfId="0" applyNumberFormat="1" applyBorder="1" applyAlignment="1">
      <alignment horizontal="left"/>
    </xf>
    <xf numFmtId="49" fontId="0" fillId="0" borderId="8" xfId="0" applyNumberFormat="1" applyBorder="1" applyAlignment="1">
      <alignment horizontal="left"/>
    </xf>
    <xf numFmtId="14" fontId="0" fillId="0" borderId="3" xfId="0" applyNumberFormat="1" applyBorder="1" applyAlignment="1">
      <alignment horizontal="left"/>
    </xf>
    <xf numFmtId="14" fontId="10" fillId="6" borderId="3" xfId="0" applyNumberFormat="1" applyFont="1" applyFill="1" applyBorder="1" applyAlignment="1">
      <alignment horizontal="center"/>
    </xf>
    <xf numFmtId="14" fontId="2" fillId="2" borderId="21" xfId="0" applyNumberFormat="1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14" fillId="8" borderId="3" xfId="0" applyFont="1" applyFill="1" applyBorder="1" applyAlignment="1">
      <alignment horizontal="center"/>
    </xf>
    <xf numFmtId="0" fontId="3" fillId="10" borderId="0" xfId="0" applyFont="1" applyFill="1" applyAlignment="1">
      <alignment horizontal="center" wrapText="1"/>
    </xf>
    <xf numFmtId="10" fontId="3" fillId="10" borderId="0" xfId="0" applyNumberFormat="1" applyFont="1" applyFill="1" applyAlignment="1">
      <alignment horizontal="center" vertical="center"/>
    </xf>
    <xf numFmtId="9" fontId="0" fillId="0" borderId="0" xfId="2" applyFont="1"/>
    <xf numFmtId="169" fontId="0" fillId="0" borderId="0" xfId="2" applyNumberFormat="1" applyFont="1"/>
    <xf numFmtId="164" fontId="0" fillId="0" borderId="0" xfId="2" applyNumberFormat="1" applyFont="1"/>
    <xf numFmtId="0" fontId="3" fillId="7" borderId="7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403860</xdr:colOff>
          <xdr:row>1</xdr:row>
          <xdr:rowOff>91440</xdr:rowOff>
        </xdr:from>
        <xdr:to>
          <xdr:col>13</xdr:col>
          <xdr:colOff>434340</xdr:colOff>
          <xdr:row>5</xdr:row>
          <xdr:rowOff>106680</xdr:rowOff>
        </xdr:to>
        <xdr:sp macro="" textlink="">
          <xdr:nvSpPr>
            <xdr:cNvPr id="6149" name="Object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8"/>
  <sheetViews>
    <sheetView topLeftCell="A13" workbookViewId="0">
      <selection activeCell="G44" sqref="G44"/>
    </sheetView>
  </sheetViews>
  <sheetFormatPr defaultRowHeight="14.4" x14ac:dyDescent="0.3"/>
  <cols>
    <col min="1" max="1" width="2.6640625" customWidth="1"/>
    <col min="2" max="2" width="31.109375" bestFit="1" customWidth="1"/>
    <col min="3" max="3" width="14.33203125" style="4" bestFit="1" customWidth="1"/>
    <col min="4" max="4" width="11.5546875" customWidth="1"/>
    <col min="5" max="5" width="16.5546875" bestFit="1" customWidth="1"/>
    <col min="6" max="6" width="10.6640625" style="4" bestFit="1" customWidth="1"/>
    <col min="7" max="7" width="48.33203125" bestFit="1" customWidth="1"/>
    <col min="8" max="8" width="14.44140625" style="4" customWidth="1"/>
  </cols>
  <sheetData>
    <row r="1" spans="2:6" ht="18" x14ac:dyDescent="0.35">
      <c r="B1" s="137" t="s">
        <v>0</v>
      </c>
      <c r="C1" s="138"/>
      <c r="D1" s="138"/>
      <c r="E1" s="138"/>
      <c r="F1" s="139"/>
    </row>
    <row r="2" spans="2:6" x14ac:dyDescent="0.3">
      <c r="B2" s="4"/>
      <c r="D2" s="4"/>
      <c r="E2" s="4"/>
    </row>
    <row r="3" spans="2:6" x14ac:dyDescent="0.3">
      <c r="B3" s="27" t="s">
        <v>1</v>
      </c>
      <c r="C3" s="142" t="s">
        <v>2</v>
      </c>
      <c r="D3" s="142"/>
      <c r="E3" s="142"/>
      <c r="F3" s="143"/>
    </row>
    <row r="4" spans="2:6" x14ac:dyDescent="0.3">
      <c r="B4" s="1" t="s">
        <v>3</v>
      </c>
      <c r="C4" s="13" t="s">
        <v>2</v>
      </c>
      <c r="E4" s="15" t="s">
        <v>4</v>
      </c>
      <c r="F4" s="92">
        <v>44413</v>
      </c>
    </row>
    <row r="5" spans="2:6" x14ac:dyDescent="0.3">
      <c r="B5" s="1" t="s">
        <v>5</v>
      </c>
      <c r="C5" s="13" t="s">
        <v>6</v>
      </c>
      <c r="E5" s="17" t="s">
        <v>7</v>
      </c>
      <c r="F5" s="93">
        <v>44440</v>
      </c>
    </row>
    <row r="6" spans="2:6" x14ac:dyDescent="0.3">
      <c r="B6" s="1"/>
      <c r="E6" s="18" t="s">
        <v>8</v>
      </c>
      <c r="F6" s="94">
        <f>EDATE(F5,C18-1)</f>
        <v>44652</v>
      </c>
    </row>
    <row r="7" spans="2:6" x14ac:dyDescent="0.3">
      <c r="B7" s="15" t="s">
        <v>9</v>
      </c>
      <c r="C7" s="16">
        <v>8000</v>
      </c>
    </row>
    <row r="8" spans="2:6" x14ac:dyDescent="0.3">
      <c r="B8" s="17" t="s">
        <v>10</v>
      </c>
      <c r="C8" s="76">
        <v>142.61000000000001</v>
      </c>
    </row>
    <row r="9" spans="2:6" x14ac:dyDescent="0.3">
      <c r="B9" s="17" t="s">
        <v>11</v>
      </c>
      <c r="C9" s="76"/>
    </row>
    <row r="10" spans="2:6" x14ac:dyDescent="0.3">
      <c r="B10" s="17" t="s">
        <v>12</v>
      </c>
      <c r="C10" s="76"/>
    </row>
    <row r="11" spans="2:6" x14ac:dyDescent="0.3">
      <c r="B11" s="17" t="s">
        <v>13</v>
      </c>
      <c r="C11" s="76"/>
    </row>
    <row r="12" spans="2:6" x14ac:dyDescent="0.3">
      <c r="B12" s="17" t="s">
        <v>14</v>
      </c>
      <c r="C12" s="76"/>
    </row>
    <row r="13" spans="2:6" x14ac:dyDescent="0.3">
      <c r="B13" s="18" t="s">
        <v>15</v>
      </c>
      <c r="C13" s="21">
        <v>0</v>
      </c>
    </row>
    <row r="15" spans="2:6" x14ac:dyDescent="0.3">
      <c r="B15" s="3" t="s">
        <v>16</v>
      </c>
      <c r="C15" s="6">
        <f>SUM(C7:C13)</f>
        <v>8142.61</v>
      </c>
    </row>
    <row r="17" spans="2:5" x14ac:dyDescent="0.3">
      <c r="B17" s="15" t="s">
        <v>17</v>
      </c>
      <c r="C17" s="16">
        <v>2428.9</v>
      </c>
    </row>
    <row r="18" spans="2:5" x14ac:dyDescent="0.3">
      <c r="B18" s="17" t="s">
        <v>18</v>
      </c>
      <c r="C18" s="24">
        <v>8</v>
      </c>
    </row>
    <row r="19" spans="2:5" x14ac:dyDescent="0.3">
      <c r="B19" s="18" t="s">
        <v>19</v>
      </c>
      <c r="C19" s="21">
        <f>C17*C18</f>
        <v>19431.2</v>
      </c>
    </row>
    <row r="20" spans="2:5" x14ac:dyDescent="0.3">
      <c r="B20" s="1"/>
      <c r="C20" s="5"/>
    </row>
    <row r="21" spans="2:5" x14ac:dyDescent="0.3">
      <c r="B21" s="15" t="s">
        <v>20</v>
      </c>
      <c r="C21" s="75">
        <v>0.25801600000000002</v>
      </c>
      <c r="D21" s="59"/>
      <c r="E21" s="60"/>
    </row>
    <row r="22" spans="2:5" x14ac:dyDescent="0.3">
      <c r="B22" s="18" t="s">
        <v>21</v>
      </c>
      <c r="C22" s="74">
        <v>0</v>
      </c>
      <c r="D22" s="58"/>
      <c r="E22" s="61"/>
    </row>
    <row r="23" spans="2:5" x14ac:dyDescent="0.3">
      <c r="B23" s="1"/>
      <c r="C23" s="7"/>
    </row>
    <row r="24" spans="2:5" x14ac:dyDescent="0.3">
      <c r="B24" s="15" t="s">
        <v>22</v>
      </c>
      <c r="C24" s="75">
        <v>0.264152</v>
      </c>
      <c r="E24" s="62"/>
    </row>
    <row r="25" spans="2:5" x14ac:dyDescent="0.3">
      <c r="B25" s="18" t="s">
        <v>23</v>
      </c>
      <c r="C25" s="74">
        <f>((1+C24)^12)-1</f>
        <v>15.656799307973891</v>
      </c>
    </row>
    <row r="26" spans="2:5" x14ac:dyDescent="0.3">
      <c r="B26" s="1"/>
      <c r="C26" s="7"/>
    </row>
    <row r="27" spans="2:5" x14ac:dyDescent="0.3">
      <c r="B27" s="27" t="s">
        <v>24</v>
      </c>
      <c r="C27" s="28" t="s">
        <v>25</v>
      </c>
    </row>
    <row r="29" spans="2:5" x14ac:dyDescent="0.3">
      <c r="B29" s="29" t="s">
        <v>26</v>
      </c>
      <c r="C29" s="30">
        <f>C19-C7</f>
        <v>11431.2</v>
      </c>
    </row>
    <row r="32" spans="2:5" x14ac:dyDescent="0.3">
      <c r="B32" s="63"/>
      <c r="C32" s="64"/>
    </row>
    <row r="33" spans="2:9" x14ac:dyDescent="0.3">
      <c r="B33" s="140" t="s">
        <v>27</v>
      </c>
      <c r="C33" s="141"/>
      <c r="G33" s="136" t="s">
        <v>28</v>
      </c>
      <c r="H33" s="136"/>
      <c r="I33" s="1"/>
    </row>
    <row r="34" spans="2:9" x14ac:dyDescent="0.3">
      <c r="B34" s="78">
        <f>RATE(C18,-C17,C15)</f>
        <v>0.24741307937699517</v>
      </c>
      <c r="C34" s="77" t="s">
        <v>29</v>
      </c>
      <c r="G34" s="10" t="s">
        <v>30</v>
      </c>
      <c r="H34" s="11">
        <f>((1+C21)^12)-1</f>
        <v>14.712090657994894</v>
      </c>
    </row>
    <row r="35" spans="2:9" x14ac:dyDescent="0.3">
      <c r="B35" s="63"/>
      <c r="C35" s="64"/>
    </row>
    <row r="36" spans="2:9" x14ac:dyDescent="0.3">
      <c r="G36" s="10" t="s">
        <v>31</v>
      </c>
      <c r="H36" s="79">
        <f>C21/30</f>
        <v>8.6005333333333336E-3</v>
      </c>
    </row>
    <row r="37" spans="2:9" x14ac:dyDescent="0.3">
      <c r="H37" s="8"/>
    </row>
    <row r="38" spans="2:9" x14ac:dyDescent="0.3">
      <c r="G38" s="134" t="s">
        <v>32</v>
      </c>
      <c r="H38" s="135"/>
    </row>
    <row r="39" spans="2:9" x14ac:dyDescent="0.3">
      <c r="G39" s="80" t="s">
        <v>81</v>
      </c>
      <c r="H39" s="81">
        <f>((1+H36)^30)-1</f>
        <v>0.29293235665647877</v>
      </c>
    </row>
    <row r="40" spans="2:9" x14ac:dyDescent="0.3">
      <c r="G40" s="82" t="s">
        <v>82</v>
      </c>
      <c r="H40" s="83">
        <f>+((1+H39)^12)-1</f>
        <v>20.822758663128194</v>
      </c>
    </row>
    <row r="42" spans="2:9" x14ac:dyDescent="0.3">
      <c r="G42" s="181" t="s">
        <v>33</v>
      </c>
      <c r="H42" s="182"/>
    </row>
    <row r="43" spans="2:9" ht="43.2" customHeight="1" x14ac:dyDescent="0.3">
      <c r="G43" s="183" t="s">
        <v>34</v>
      </c>
      <c r="H43" s="184"/>
    </row>
    <row r="47" spans="2:9" x14ac:dyDescent="0.3">
      <c r="G47" s="178"/>
      <c r="I47" s="180"/>
    </row>
    <row r="48" spans="2:9" x14ac:dyDescent="0.3">
      <c r="I48" s="179"/>
    </row>
  </sheetData>
  <mergeCells count="7">
    <mergeCell ref="G42:H42"/>
    <mergeCell ref="G43:H43"/>
    <mergeCell ref="G38:H38"/>
    <mergeCell ref="G33:H33"/>
    <mergeCell ref="B1:F1"/>
    <mergeCell ref="B33:C33"/>
    <mergeCell ref="C3:F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67"/>
  <sheetViews>
    <sheetView topLeftCell="A2" zoomScale="90" zoomScaleNormal="90" workbookViewId="0">
      <selection activeCell="G9" sqref="G9"/>
    </sheetView>
  </sheetViews>
  <sheetFormatPr defaultRowHeight="14.4" x14ac:dyDescent="0.3"/>
  <cols>
    <col min="1" max="1" width="2.88671875" customWidth="1"/>
    <col min="2" max="2" width="20.6640625" customWidth="1"/>
    <col min="3" max="3" width="14.33203125" style="12" bestFit="1" customWidth="1"/>
    <col min="4" max="4" width="18.6640625" style="2" bestFit="1" customWidth="1"/>
    <col min="5" max="6" width="17.77734375" style="4" bestFit="1" customWidth="1"/>
    <col min="7" max="7" width="17.77734375" style="5" bestFit="1" customWidth="1"/>
  </cols>
  <sheetData>
    <row r="1" spans="2:7" ht="17.399999999999999" x14ac:dyDescent="0.35">
      <c r="B1" s="150" t="s">
        <v>35</v>
      </c>
      <c r="C1" s="151"/>
      <c r="D1" s="151"/>
      <c r="E1" s="151"/>
      <c r="F1" s="151"/>
      <c r="G1" s="152"/>
    </row>
    <row r="2" spans="2:7" ht="17.399999999999999" x14ac:dyDescent="0.35">
      <c r="B2" s="53"/>
      <c r="C2" s="53"/>
      <c r="D2" s="53"/>
      <c r="E2" s="53"/>
      <c r="F2" s="53"/>
      <c r="G2" s="53"/>
    </row>
    <row r="3" spans="2:7" x14ac:dyDescent="0.3">
      <c r="B3" s="15" t="s">
        <v>36</v>
      </c>
      <c r="C3" s="144" t="str">
        <f>'DADOS DO CONTRATO E CAPITALIZ'!C3</f>
        <v>XXXXXXXX</v>
      </c>
      <c r="D3" s="145"/>
      <c r="E3" s="145"/>
      <c r="F3" s="145"/>
      <c r="G3" s="146"/>
    </row>
    <row r="4" spans="2:7" x14ac:dyDescent="0.3">
      <c r="B4" s="17" t="s">
        <v>37</v>
      </c>
      <c r="C4" s="147" t="str">
        <f>'DADOS DO CONTRATO E CAPITALIZ'!C4</f>
        <v>XXXXXXXX</v>
      </c>
      <c r="D4" s="148"/>
      <c r="E4" s="148"/>
      <c r="F4" s="148"/>
      <c r="G4" s="149"/>
    </row>
    <row r="5" spans="2:7" x14ac:dyDescent="0.3">
      <c r="B5" s="18" t="s">
        <v>38</v>
      </c>
      <c r="C5" s="22" t="str">
        <f>'DADOS DO CONTRATO E CAPITALIZ'!C5</f>
        <v>0000</v>
      </c>
      <c r="D5" s="19"/>
      <c r="E5" s="65" t="s">
        <v>39</v>
      </c>
      <c r="F5" s="20"/>
      <c r="G5" s="23">
        <f>'DADOS DO CONTRATO E CAPITALIZ'!F4</f>
        <v>44413</v>
      </c>
    </row>
    <row r="6" spans="2:7" x14ac:dyDescent="0.3">
      <c r="B6" s="1"/>
      <c r="D6" s="14"/>
    </row>
    <row r="7" spans="2:7" x14ac:dyDescent="0.3">
      <c r="B7" s="31" t="s">
        <v>9</v>
      </c>
      <c r="C7" s="32">
        <f>'DADOS DO CONTRATO E CAPITALIZ'!C7</f>
        <v>8000</v>
      </c>
      <c r="D7" s="14"/>
      <c r="E7" s="153" t="s">
        <v>17</v>
      </c>
      <c r="F7" s="154"/>
      <c r="G7" s="32">
        <f>'DADOS DO CONTRATO E CAPITALIZ'!C17</f>
        <v>2428.9</v>
      </c>
    </row>
    <row r="8" spans="2:7" x14ac:dyDescent="0.3">
      <c r="B8" s="33" t="str">
        <f>'DADOS DO CONTRATO E CAPITALIZ'!B8</f>
        <v>IOF financiado</v>
      </c>
      <c r="C8" s="34">
        <f>'DADOS DO CONTRATO E CAPITALIZ'!C8</f>
        <v>142.61000000000001</v>
      </c>
      <c r="D8" s="14"/>
      <c r="E8" s="155" t="s">
        <v>18</v>
      </c>
      <c r="F8" s="156"/>
      <c r="G8" s="41">
        <f>'DADOS DO CONTRATO E CAPITALIZ'!C18</f>
        <v>8</v>
      </c>
    </row>
    <row r="9" spans="2:7" x14ac:dyDescent="0.3">
      <c r="B9" s="33" t="str">
        <f>'DADOS DO CONTRATO E CAPITALIZ'!B9</f>
        <v>IOF adicional</v>
      </c>
      <c r="C9" s="34">
        <f>'DADOS DO CONTRATO E CAPITALIZ'!C9</f>
        <v>0</v>
      </c>
      <c r="D9" s="14"/>
      <c r="E9" s="158" t="s">
        <v>40</v>
      </c>
      <c r="F9" s="159"/>
      <c r="G9" s="42">
        <f>'DADOS DO CONTRATO E CAPITALIZ'!C19</f>
        <v>19431.2</v>
      </c>
    </row>
    <row r="10" spans="2:7" x14ac:dyDescent="0.3">
      <c r="B10" s="33" t="str">
        <f>'DADOS DO CONTRATO E CAPITALIZ'!B10</f>
        <v>tarifa de avaliação</v>
      </c>
      <c r="C10" s="34">
        <f>'DADOS DO CONTRATO E CAPITALIZ'!C10</f>
        <v>0</v>
      </c>
      <c r="D10" s="14"/>
    </row>
    <row r="11" spans="2:7" x14ac:dyDescent="0.3">
      <c r="B11" s="33" t="str">
        <f>'DADOS DO CONTRATO E CAPITALIZ'!B11</f>
        <v>seguro</v>
      </c>
      <c r="C11" s="34">
        <f>'DADOS DO CONTRATO E CAPITALIZ'!C11</f>
        <v>0</v>
      </c>
      <c r="D11" s="14"/>
      <c r="E11" s="153" t="s">
        <v>20</v>
      </c>
      <c r="F11" s="154"/>
      <c r="G11" s="39">
        <f>'DADOS DO CONTRATO E CAPITALIZ'!C21</f>
        <v>0.25801600000000002</v>
      </c>
    </row>
    <row r="12" spans="2:7" x14ac:dyDescent="0.3">
      <c r="B12" s="33" t="str">
        <f>'DADOS DO CONTRATO E CAPITALIZ'!B12</f>
        <v>registro no órgão de trânsito</v>
      </c>
      <c r="C12" s="34">
        <f>'DADOS DO CONTRATO E CAPITALIZ'!C12</f>
        <v>0</v>
      </c>
      <c r="D12" s="14"/>
      <c r="E12" s="158" t="s">
        <v>21</v>
      </c>
      <c r="F12" s="159"/>
      <c r="G12" s="40">
        <f>'DADOS DO CONTRATO E CAPITALIZ'!C22</f>
        <v>0</v>
      </c>
    </row>
    <row r="13" spans="2:7" x14ac:dyDescent="0.3">
      <c r="B13" s="33" t="str">
        <f>'DADOS DO CONTRATO E CAPITALIZ'!B13</f>
        <v>Outros:</v>
      </c>
      <c r="C13" s="34">
        <f>'DADOS DO CONTRATO E CAPITALIZ'!C13</f>
        <v>0</v>
      </c>
      <c r="D13" s="14"/>
      <c r="E13" s="153" t="s">
        <v>22</v>
      </c>
      <c r="F13" s="154"/>
      <c r="G13" s="39">
        <f>'DADOS DO CONTRATO E CAPITALIZ'!C24</f>
        <v>0.264152</v>
      </c>
    </row>
    <row r="14" spans="2:7" x14ac:dyDescent="0.3">
      <c r="B14" s="35" t="s">
        <v>16</v>
      </c>
      <c r="C14" s="36">
        <f>SUM(C7:C13)</f>
        <v>8142.61</v>
      </c>
      <c r="D14" s="14"/>
      <c r="E14" s="158" t="s">
        <v>23</v>
      </c>
      <c r="F14" s="159"/>
      <c r="G14" s="40">
        <f>'DADOS DO CONTRATO E CAPITALIZ'!C25</f>
        <v>15.656799307973891</v>
      </c>
    </row>
    <row r="15" spans="2:7" x14ac:dyDescent="0.3">
      <c r="B15" s="37" t="s">
        <v>7</v>
      </c>
      <c r="C15" s="38">
        <f>'DADOS DO CONTRATO E CAPITALIZ'!F5</f>
        <v>44440</v>
      </c>
      <c r="D15" s="14"/>
    </row>
    <row r="17" spans="2:7" x14ac:dyDescent="0.3">
      <c r="B17" s="157" t="s">
        <v>41</v>
      </c>
      <c r="C17" s="157"/>
      <c r="D17" s="157"/>
      <c r="E17" s="157"/>
      <c r="F17" s="157"/>
      <c r="G17" s="157"/>
    </row>
    <row r="18" spans="2:7" s="4" customFormat="1" x14ac:dyDescent="0.3">
      <c r="B18" s="43" t="s">
        <v>42</v>
      </c>
      <c r="C18" s="44" t="s">
        <v>43</v>
      </c>
      <c r="D18" s="45" t="s">
        <v>44</v>
      </c>
      <c r="E18" s="46" t="s">
        <v>45</v>
      </c>
      <c r="F18" s="46" t="s">
        <v>46</v>
      </c>
      <c r="G18" s="32" t="s">
        <v>47</v>
      </c>
    </row>
    <row r="19" spans="2:7" x14ac:dyDescent="0.3">
      <c r="B19" s="47">
        <v>0</v>
      </c>
      <c r="C19" s="48">
        <f>'DADOS DO CONTRATO E CAPITALIZ'!F4</f>
        <v>44413</v>
      </c>
      <c r="D19" s="49"/>
      <c r="E19" s="50"/>
      <c r="F19" s="50"/>
      <c r="G19" s="34">
        <f>'DADOS DO CONTRATO E CAPITALIZ'!C15</f>
        <v>8142.61</v>
      </c>
    </row>
    <row r="20" spans="2:7" x14ac:dyDescent="0.3">
      <c r="B20" s="47">
        <v>1</v>
      </c>
      <c r="C20" s="48">
        <f>C15</f>
        <v>44440</v>
      </c>
      <c r="D20" s="49">
        <f>G7</f>
        <v>2428.9</v>
      </c>
      <c r="E20" s="51">
        <f>G19*'DADOS DO CONTRATO E CAPITALIZ'!$B$34</f>
        <v>2014.5882142659145</v>
      </c>
      <c r="F20" s="51">
        <f>D20-E20</f>
        <v>414.31178573408556</v>
      </c>
      <c r="G20" s="34">
        <f>G19-F20</f>
        <v>7728.2982142659139</v>
      </c>
    </row>
    <row r="21" spans="2:7" x14ac:dyDescent="0.3">
      <c r="B21" s="47">
        <v>2</v>
      </c>
      <c r="C21" s="48">
        <f>EDATE(C20,1)</f>
        <v>44470</v>
      </c>
      <c r="D21" s="49">
        <f>D20</f>
        <v>2428.9</v>
      </c>
      <c r="E21" s="51">
        <f>G20*'DADOS DO CONTRATO E CAPITALIZ'!$B$34</f>
        <v>1912.0820595352625</v>
      </c>
      <c r="F21" s="51">
        <f t="shared" ref="F21:F27" si="0">D21-E21</f>
        <v>516.8179404647376</v>
      </c>
      <c r="G21" s="34">
        <f t="shared" ref="G21:G27" si="1">G20-F21</f>
        <v>7211.4802738011767</v>
      </c>
    </row>
    <row r="22" spans="2:7" x14ac:dyDescent="0.3">
      <c r="B22" s="47">
        <v>3</v>
      </c>
      <c r="C22" s="48">
        <f t="shared" ref="C22:C27" si="2">EDATE(C21,1)</f>
        <v>44501</v>
      </c>
      <c r="D22" s="49">
        <f t="shared" ref="D22:D27" si="3">D21</f>
        <v>2428.9</v>
      </c>
      <c r="E22" s="51">
        <f>G21*'DADOS DO CONTRATO E CAPITALIZ'!$B$34</f>
        <v>1784.2145414076053</v>
      </c>
      <c r="F22" s="51">
        <f t="shared" si="0"/>
        <v>644.68545859239475</v>
      </c>
      <c r="G22" s="34">
        <f t="shared" si="1"/>
        <v>6566.794815208782</v>
      </c>
    </row>
    <row r="23" spans="2:7" x14ac:dyDescent="0.3">
      <c r="B23" s="47">
        <v>4</v>
      </c>
      <c r="C23" s="48">
        <f t="shared" si="2"/>
        <v>44531</v>
      </c>
      <c r="D23" s="49">
        <f t="shared" si="3"/>
        <v>2428.9</v>
      </c>
      <c r="E23" s="51">
        <f>G22*'DADOS DO CONTRATO E CAPITALIZ'!$B$34</f>
        <v>1624.7109268676907</v>
      </c>
      <c r="F23" s="51">
        <f t="shared" si="0"/>
        <v>804.18907313230943</v>
      </c>
      <c r="G23" s="34">
        <f t="shared" si="1"/>
        <v>5762.6057420764728</v>
      </c>
    </row>
    <row r="24" spans="2:7" x14ac:dyDescent="0.3">
      <c r="B24" s="47">
        <v>5</v>
      </c>
      <c r="C24" s="48">
        <f t="shared" si="2"/>
        <v>44562</v>
      </c>
      <c r="D24" s="49">
        <f t="shared" si="3"/>
        <v>2428.9</v>
      </c>
      <c r="E24" s="51">
        <f>G23*'DADOS DO CONTRATO E CAPITALIZ'!$B$34</f>
        <v>1425.7440318826946</v>
      </c>
      <c r="F24" s="51">
        <f t="shared" si="0"/>
        <v>1003.1559681173055</v>
      </c>
      <c r="G24" s="34">
        <f t="shared" si="1"/>
        <v>4759.449773959167</v>
      </c>
    </row>
    <row r="25" spans="2:7" x14ac:dyDescent="0.3">
      <c r="B25" s="47">
        <v>6</v>
      </c>
      <c r="C25" s="48">
        <f t="shared" si="2"/>
        <v>44593</v>
      </c>
      <c r="D25" s="49">
        <f t="shared" si="3"/>
        <v>2428.9</v>
      </c>
      <c r="E25" s="51">
        <f>G24*'DADOS DO CONTRATO E CAPITALIZ'!$B$34</f>
        <v>1177.5501247153811</v>
      </c>
      <c r="F25" s="51">
        <f t="shared" si="0"/>
        <v>1251.349875284619</v>
      </c>
      <c r="G25" s="34">
        <f t="shared" si="1"/>
        <v>3508.0998986745481</v>
      </c>
    </row>
    <row r="26" spans="2:7" x14ac:dyDescent="0.3">
      <c r="B26" s="47">
        <v>7</v>
      </c>
      <c r="C26" s="48">
        <f t="shared" si="2"/>
        <v>44621</v>
      </c>
      <c r="D26" s="49">
        <f t="shared" si="3"/>
        <v>2428.9</v>
      </c>
      <c r="E26" s="51">
        <f>G25*'DADOS DO CONTRATO E CAPITALIZ'!$B$34</f>
        <v>867.94979869319468</v>
      </c>
      <c r="F26" s="51">
        <f t="shared" si="0"/>
        <v>1560.9502013068054</v>
      </c>
      <c r="G26" s="34">
        <f t="shared" si="1"/>
        <v>1947.1496973677426</v>
      </c>
    </row>
    <row r="27" spans="2:7" x14ac:dyDescent="0.3">
      <c r="B27" s="47">
        <v>8</v>
      </c>
      <c r="C27" s="48">
        <f t="shared" si="2"/>
        <v>44652</v>
      </c>
      <c r="D27" s="49">
        <f t="shared" si="3"/>
        <v>2428.9</v>
      </c>
      <c r="E27" s="51">
        <f>G26*'DADOS DO CONTRATO E CAPITALIZ'!$B$34</f>
        <v>481.75030263373742</v>
      </c>
      <c r="F27" s="51">
        <f t="shared" si="0"/>
        <v>1947.1496973662627</v>
      </c>
      <c r="G27" s="34">
        <f t="shared" si="1"/>
        <v>1.4799752534599975E-9</v>
      </c>
    </row>
    <row r="28" spans="2:7" x14ac:dyDescent="0.3">
      <c r="B28" s="47">
        <v>9</v>
      </c>
      <c r="C28" s="48"/>
      <c r="D28" s="49"/>
      <c r="E28" s="51"/>
      <c r="F28" s="51"/>
      <c r="G28" s="34"/>
    </row>
    <row r="29" spans="2:7" x14ac:dyDescent="0.3">
      <c r="B29" s="47">
        <v>10</v>
      </c>
      <c r="C29" s="48"/>
      <c r="D29" s="49"/>
      <c r="E29" s="51"/>
      <c r="F29" s="51"/>
      <c r="G29" s="54"/>
    </row>
    <row r="30" spans="2:7" x14ac:dyDescent="0.3">
      <c r="B30" s="47">
        <v>11</v>
      </c>
      <c r="C30" s="48"/>
      <c r="D30" s="49"/>
      <c r="E30" s="51"/>
      <c r="F30" s="51"/>
      <c r="G30" s="34"/>
    </row>
    <row r="31" spans="2:7" x14ac:dyDescent="0.3">
      <c r="B31" s="47">
        <v>12</v>
      </c>
      <c r="C31" s="48"/>
      <c r="D31" s="49"/>
      <c r="E31" s="51"/>
      <c r="F31" s="51"/>
      <c r="G31" s="54"/>
    </row>
    <row r="32" spans="2:7" x14ac:dyDescent="0.3">
      <c r="B32" s="47">
        <v>13</v>
      </c>
      <c r="C32" s="48"/>
      <c r="D32" s="49"/>
      <c r="E32" s="51"/>
      <c r="F32" s="51"/>
      <c r="G32" s="54"/>
    </row>
    <row r="33" spans="2:7" x14ac:dyDescent="0.3">
      <c r="B33" s="47">
        <v>14</v>
      </c>
      <c r="C33" s="48"/>
      <c r="D33" s="49"/>
      <c r="E33" s="51"/>
      <c r="F33" s="51"/>
      <c r="G33" s="54"/>
    </row>
    <row r="34" spans="2:7" x14ac:dyDescent="0.3">
      <c r="B34" s="47">
        <v>15</v>
      </c>
      <c r="C34" s="48"/>
      <c r="D34" s="49"/>
      <c r="E34" s="51"/>
      <c r="F34" s="51"/>
      <c r="G34" s="54"/>
    </row>
    <row r="35" spans="2:7" x14ac:dyDescent="0.3">
      <c r="B35" s="47">
        <v>16</v>
      </c>
      <c r="C35" s="48"/>
      <c r="D35" s="49"/>
      <c r="E35" s="51"/>
      <c r="F35" s="51"/>
      <c r="G35" s="54"/>
    </row>
    <row r="36" spans="2:7" x14ac:dyDescent="0.3">
      <c r="B36" s="47">
        <v>17</v>
      </c>
      <c r="C36" s="48"/>
      <c r="D36" s="49"/>
      <c r="E36" s="51"/>
      <c r="F36" s="51"/>
      <c r="G36" s="54"/>
    </row>
    <row r="37" spans="2:7" x14ac:dyDescent="0.3">
      <c r="B37" s="47">
        <v>18</v>
      </c>
      <c r="C37" s="48"/>
      <c r="D37" s="49"/>
      <c r="E37" s="51"/>
      <c r="F37" s="51"/>
      <c r="G37" s="54"/>
    </row>
    <row r="38" spans="2:7" x14ac:dyDescent="0.3">
      <c r="B38" s="47">
        <v>19</v>
      </c>
      <c r="C38" s="48"/>
      <c r="D38" s="49"/>
      <c r="E38" s="51"/>
      <c r="F38" s="51"/>
      <c r="G38" s="54"/>
    </row>
    <row r="39" spans="2:7" x14ac:dyDescent="0.3">
      <c r="B39" s="47">
        <v>20</v>
      </c>
      <c r="C39" s="48"/>
      <c r="D39" s="49"/>
      <c r="E39" s="51"/>
      <c r="F39" s="51"/>
      <c r="G39" s="54"/>
    </row>
    <row r="40" spans="2:7" x14ac:dyDescent="0.3">
      <c r="B40" s="47">
        <v>21</v>
      </c>
      <c r="C40" s="48"/>
      <c r="D40" s="49"/>
      <c r="E40" s="51"/>
      <c r="F40" s="51"/>
      <c r="G40" s="54"/>
    </row>
    <row r="41" spans="2:7" x14ac:dyDescent="0.3">
      <c r="B41" s="47">
        <v>22</v>
      </c>
      <c r="C41" s="48"/>
      <c r="D41" s="49"/>
      <c r="E41" s="51"/>
      <c r="F41" s="51"/>
      <c r="G41" s="54"/>
    </row>
    <row r="42" spans="2:7" x14ac:dyDescent="0.3">
      <c r="B42" s="47">
        <v>23</v>
      </c>
      <c r="C42" s="48"/>
      <c r="D42" s="49"/>
      <c r="E42" s="51"/>
      <c r="F42" s="51"/>
      <c r="G42" s="54"/>
    </row>
    <row r="43" spans="2:7" x14ac:dyDescent="0.3">
      <c r="B43" s="47">
        <v>24</v>
      </c>
      <c r="C43" s="48"/>
      <c r="D43" s="49"/>
      <c r="E43" s="51"/>
      <c r="F43" s="51"/>
      <c r="G43" s="54"/>
    </row>
    <row r="44" spans="2:7" x14ac:dyDescent="0.3">
      <c r="B44" s="47">
        <v>25</v>
      </c>
      <c r="C44" s="48"/>
      <c r="D44" s="49"/>
      <c r="E44" s="51"/>
      <c r="F44" s="51"/>
      <c r="G44" s="54"/>
    </row>
    <row r="45" spans="2:7" x14ac:dyDescent="0.3">
      <c r="B45" s="47">
        <v>26</v>
      </c>
      <c r="C45" s="48"/>
      <c r="D45" s="49"/>
      <c r="E45" s="51"/>
      <c r="F45" s="51"/>
      <c r="G45" s="54"/>
    </row>
    <row r="46" spans="2:7" x14ac:dyDescent="0.3">
      <c r="B46" s="47">
        <v>27</v>
      </c>
      <c r="C46" s="48"/>
      <c r="D46" s="49"/>
      <c r="E46" s="51"/>
      <c r="F46" s="51"/>
      <c r="G46" s="54"/>
    </row>
    <row r="47" spans="2:7" x14ac:dyDescent="0.3">
      <c r="B47" s="47">
        <v>28</v>
      </c>
      <c r="C47" s="48"/>
      <c r="D47" s="49"/>
      <c r="E47" s="51"/>
      <c r="F47" s="51"/>
      <c r="G47" s="54"/>
    </row>
    <row r="48" spans="2:7" x14ac:dyDescent="0.3">
      <c r="B48" s="47">
        <v>29</v>
      </c>
      <c r="C48" s="48"/>
      <c r="D48" s="49"/>
      <c r="E48" s="51"/>
      <c r="F48" s="51"/>
      <c r="G48" s="54"/>
    </row>
    <row r="49" spans="2:7" x14ac:dyDescent="0.3">
      <c r="B49" s="47">
        <v>30</v>
      </c>
      <c r="C49" s="48"/>
      <c r="D49" s="49"/>
      <c r="E49" s="51"/>
      <c r="F49" s="51"/>
      <c r="G49" s="54"/>
    </row>
    <row r="50" spans="2:7" x14ac:dyDescent="0.3">
      <c r="B50" s="47">
        <v>31</v>
      </c>
      <c r="C50" s="48"/>
      <c r="D50" s="49"/>
      <c r="E50" s="51"/>
      <c r="F50" s="51"/>
      <c r="G50" s="54"/>
    </row>
    <row r="51" spans="2:7" x14ac:dyDescent="0.3">
      <c r="B51" s="47">
        <v>32</v>
      </c>
      <c r="C51" s="48"/>
      <c r="D51" s="49"/>
      <c r="E51" s="51"/>
      <c r="F51" s="51"/>
      <c r="G51" s="54"/>
    </row>
    <row r="52" spans="2:7" x14ac:dyDescent="0.3">
      <c r="B52" s="47">
        <v>33</v>
      </c>
      <c r="C52" s="48"/>
      <c r="D52" s="49"/>
      <c r="E52" s="51"/>
      <c r="F52" s="51"/>
      <c r="G52" s="54"/>
    </row>
    <row r="53" spans="2:7" x14ac:dyDescent="0.3">
      <c r="B53" s="47">
        <v>34</v>
      </c>
      <c r="C53" s="48"/>
      <c r="D53" s="49"/>
      <c r="E53" s="51"/>
      <c r="F53" s="51"/>
      <c r="G53" s="54"/>
    </row>
    <row r="54" spans="2:7" x14ac:dyDescent="0.3">
      <c r="B54" s="47">
        <v>35</v>
      </c>
      <c r="C54" s="48"/>
      <c r="D54" s="49"/>
      <c r="E54" s="51"/>
      <c r="F54" s="51"/>
      <c r="G54" s="54"/>
    </row>
    <row r="55" spans="2:7" x14ac:dyDescent="0.3">
      <c r="B55" s="52">
        <v>36</v>
      </c>
      <c r="C55" s="48"/>
      <c r="D55" s="49"/>
      <c r="E55" s="51"/>
      <c r="F55" s="51"/>
      <c r="G55" s="54"/>
    </row>
    <row r="56" spans="2:7" x14ac:dyDescent="0.3">
      <c r="B56" s="47">
        <v>37</v>
      </c>
      <c r="C56" s="48"/>
      <c r="D56" s="49"/>
      <c r="E56" s="51"/>
      <c r="F56" s="51"/>
      <c r="G56" s="54"/>
    </row>
    <row r="57" spans="2:7" x14ac:dyDescent="0.3">
      <c r="B57" s="47">
        <v>38</v>
      </c>
      <c r="C57" s="48"/>
      <c r="D57" s="49"/>
      <c r="E57" s="51"/>
      <c r="F57" s="51"/>
      <c r="G57" s="54"/>
    </row>
    <row r="58" spans="2:7" x14ac:dyDescent="0.3">
      <c r="B58" s="47">
        <v>39</v>
      </c>
      <c r="C58" s="48"/>
      <c r="D58" s="49"/>
      <c r="E58" s="51"/>
      <c r="F58" s="51"/>
      <c r="G58" s="54"/>
    </row>
    <row r="59" spans="2:7" x14ac:dyDescent="0.3">
      <c r="B59" s="52">
        <v>40</v>
      </c>
      <c r="C59" s="48"/>
      <c r="D59" s="49"/>
      <c r="E59" s="51"/>
      <c r="F59" s="51"/>
      <c r="G59" s="54"/>
    </row>
    <row r="60" spans="2:7" x14ac:dyDescent="0.3">
      <c r="B60" s="47">
        <v>41</v>
      </c>
      <c r="C60" s="48"/>
      <c r="D60" s="49"/>
      <c r="E60" s="51"/>
      <c r="F60" s="51"/>
      <c r="G60" s="54"/>
    </row>
    <row r="61" spans="2:7" x14ac:dyDescent="0.3">
      <c r="B61" s="47">
        <v>42</v>
      </c>
      <c r="C61" s="48"/>
      <c r="D61" s="49"/>
      <c r="E61" s="51"/>
      <c r="F61" s="51"/>
      <c r="G61" s="54"/>
    </row>
    <row r="62" spans="2:7" x14ac:dyDescent="0.3">
      <c r="B62" s="47">
        <v>43</v>
      </c>
      <c r="C62" s="48"/>
      <c r="D62" s="49"/>
      <c r="E62" s="51"/>
      <c r="F62" s="51"/>
      <c r="G62" s="54"/>
    </row>
    <row r="63" spans="2:7" x14ac:dyDescent="0.3">
      <c r="B63" s="52">
        <v>44</v>
      </c>
      <c r="C63" s="48"/>
      <c r="D63" s="49"/>
      <c r="E63" s="51"/>
      <c r="F63" s="51"/>
      <c r="G63" s="54"/>
    </row>
    <row r="64" spans="2:7" x14ac:dyDescent="0.3">
      <c r="B64" s="47">
        <v>45</v>
      </c>
      <c r="C64" s="48"/>
      <c r="D64" s="49"/>
      <c r="E64" s="51"/>
      <c r="F64" s="51"/>
      <c r="G64" s="54"/>
    </row>
    <row r="65" spans="2:7" x14ac:dyDescent="0.3">
      <c r="B65" s="47">
        <v>46</v>
      </c>
      <c r="C65" s="48"/>
      <c r="D65" s="49"/>
      <c r="E65" s="51"/>
      <c r="F65" s="51"/>
      <c r="G65" s="54"/>
    </row>
    <row r="66" spans="2:7" x14ac:dyDescent="0.3">
      <c r="B66" s="47">
        <v>47</v>
      </c>
      <c r="C66" s="48"/>
      <c r="D66" s="49"/>
      <c r="E66" s="51"/>
      <c r="F66" s="51"/>
      <c r="G66" s="54"/>
    </row>
    <row r="67" spans="2:7" x14ac:dyDescent="0.3">
      <c r="B67" s="52">
        <v>48</v>
      </c>
      <c r="C67" s="48"/>
      <c r="D67" s="49"/>
      <c r="E67" s="51"/>
      <c r="F67" s="51"/>
      <c r="G67" s="54"/>
    </row>
  </sheetData>
  <mergeCells count="11">
    <mergeCell ref="B17:G17"/>
    <mergeCell ref="E9:F9"/>
    <mergeCell ref="E11:F11"/>
    <mergeCell ref="E12:F12"/>
    <mergeCell ref="E13:F13"/>
    <mergeCell ref="E14:F14"/>
    <mergeCell ref="C3:G3"/>
    <mergeCell ref="C4:G4"/>
    <mergeCell ref="B1:G1"/>
    <mergeCell ref="E7:F7"/>
    <mergeCell ref="E8:F8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E6407-0E7C-40C6-8F9F-E4076545E67C}">
  <dimension ref="B1:N73"/>
  <sheetViews>
    <sheetView zoomScale="115" zoomScaleNormal="115" workbookViewId="0">
      <selection activeCell="B7" sqref="B7:H15"/>
    </sheetView>
  </sheetViews>
  <sheetFormatPr defaultRowHeight="14.4" x14ac:dyDescent="0.3"/>
  <cols>
    <col min="2" max="2" width="25.88671875" customWidth="1"/>
    <col min="3" max="3" width="10.21875" customWidth="1"/>
    <col min="4" max="4" width="14.33203125" style="12" bestFit="1" customWidth="1"/>
    <col min="5" max="5" width="16.109375" style="2" customWidth="1"/>
    <col min="6" max="6" width="13.33203125" style="4" bestFit="1" customWidth="1"/>
    <col min="7" max="7" width="15.5546875" style="4" customWidth="1"/>
    <col min="8" max="8" width="14.33203125" style="5" bestFit="1" customWidth="1"/>
    <col min="10" max="10" width="16.33203125" customWidth="1"/>
    <col min="11" max="11" width="13" bestFit="1" customWidth="1"/>
  </cols>
  <sheetData>
    <row r="1" spans="2:14" ht="17.399999999999999" x14ac:dyDescent="0.35">
      <c r="B1" s="165" t="s">
        <v>78</v>
      </c>
      <c r="C1" s="165"/>
      <c r="D1" s="165"/>
      <c r="E1" s="165"/>
      <c r="F1" s="165"/>
      <c r="G1" s="165"/>
      <c r="H1" s="165"/>
      <c r="J1" s="160" t="s">
        <v>72</v>
      </c>
      <c r="K1" s="160"/>
      <c r="L1" s="160"/>
      <c r="M1" s="160"/>
      <c r="N1" s="160"/>
    </row>
    <row r="2" spans="2:14" ht="17.399999999999999" x14ac:dyDescent="0.35">
      <c r="B2" s="53"/>
      <c r="C2" s="53"/>
      <c r="D2" s="53"/>
      <c r="E2" s="53"/>
      <c r="F2" s="53"/>
      <c r="G2" s="53"/>
      <c r="H2" s="53"/>
    </row>
    <row r="3" spans="2:14" x14ac:dyDescent="0.3">
      <c r="B3" s="15" t="s">
        <v>36</v>
      </c>
      <c r="C3" s="144" t="str">
        <f>'DADOS DO CONTRATO E CAPITALIZ'!C3</f>
        <v>XXXXXXXX</v>
      </c>
      <c r="D3" s="144"/>
      <c r="E3" s="144"/>
      <c r="F3" s="144"/>
      <c r="G3" s="144"/>
      <c r="H3" s="162"/>
    </row>
    <row r="4" spans="2:14" x14ac:dyDescent="0.3">
      <c r="B4" s="17" t="s">
        <v>37</v>
      </c>
      <c r="C4" s="147" t="str">
        <f>'DADOS DO CONTRATO E CAPITALIZ'!C4</f>
        <v>XXXXXXXX</v>
      </c>
      <c r="D4" s="147"/>
      <c r="E4" s="147"/>
      <c r="F4" s="147"/>
      <c r="G4" s="147"/>
      <c r="H4" s="163"/>
    </row>
    <row r="5" spans="2:14" x14ac:dyDescent="0.3">
      <c r="B5" s="18" t="s">
        <v>38</v>
      </c>
      <c r="C5" s="164" t="str">
        <f>'DADOS DO CONTRATO E CAPITALIZ'!C5</f>
        <v>0000</v>
      </c>
      <c r="D5" s="164"/>
      <c r="E5" s="19"/>
      <c r="F5" s="20" t="s">
        <v>39</v>
      </c>
      <c r="G5" s="20"/>
      <c r="H5" s="23">
        <f>'DADOS DO CONTRATO E CAPITALIZ'!F4</f>
        <v>44413</v>
      </c>
    </row>
    <row r="6" spans="2:14" x14ac:dyDescent="0.3">
      <c r="B6" s="1"/>
      <c r="C6" s="1"/>
      <c r="E6" s="14"/>
    </row>
    <row r="7" spans="2:14" x14ac:dyDescent="0.3">
      <c r="B7" s="31" t="s">
        <v>9</v>
      </c>
      <c r="C7" s="121"/>
      <c r="D7" s="32">
        <f>'DADOS DO CONTRATO E CAPITALIZ'!C7</f>
        <v>8000</v>
      </c>
      <c r="E7" s="14"/>
      <c r="F7" s="153" t="s">
        <v>17</v>
      </c>
      <c r="G7" s="154"/>
      <c r="H7" s="32">
        <f>'DADOS DO CONTRATO E CAPITALIZ'!C17</f>
        <v>2428.9</v>
      </c>
      <c r="J7" s="161" t="s">
        <v>73</v>
      </c>
      <c r="K7" s="161"/>
      <c r="M7" s="125" t="s">
        <v>64</v>
      </c>
      <c r="N7" s="126" t="s">
        <v>65</v>
      </c>
    </row>
    <row r="8" spans="2:14" x14ac:dyDescent="0.3">
      <c r="B8" s="33" t="str">
        <f>'DADOS DO CONTRATO E CAPITALIZ'!B8</f>
        <v>IOF financiado</v>
      </c>
      <c r="C8" s="122"/>
      <c r="D8" s="34">
        <f>'DADOS DO CONTRATO E CAPITALIZ'!C8</f>
        <v>142.61000000000001</v>
      </c>
      <c r="E8" s="14"/>
      <c r="F8" s="155" t="s">
        <v>18</v>
      </c>
      <c r="G8" s="156"/>
      <c r="H8" s="41">
        <f>'DADOS DO CONTRATO E CAPITALIZ'!C18</f>
        <v>8</v>
      </c>
      <c r="J8" s="119"/>
      <c r="K8" s="119">
        <f>D14*(H11*H8)+D14</f>
        <v>11406.168087999999</v>
      </c>
      <c r="M8" s="125" t="s">
        <v>66</v>
      </c>
      <c r="N8" s="126" t="s">
        <v>67</v>
      </c>
    </row>
    <row r="9" spans="2:14" x14ac:dyDescent="0.3">
      <c r="B9" s="33" t="str">
        <f>'DADOS DO CONTRATO E CAPITALIZ'!B9</f>
        <v>IOF adicional</v>
      </c>
      <c r="C9" s="122"/>
      <c r="D9" s="34">
        <f>'DADOS DO CONTRATO E CAPITALIZ'!C9</f>
        <v>0</v>
      </c>
      <c r="E9" s="14"/>
      <c r="F9" s="158" t="s">
        <v>40</v>
      </c>
      <c r="G9" s="159"/>
      <c r="H9" s="42">
        <f>SUM(E20:E27)</f>
        <v>9704.4863980941864</v>
      </c>
      <c r="K9">
        <f>(((H11*(H8-1)/2)+1)*H8)</f>
        <v>9.4027999999999992</v>
      </c>
      <c r="M9" s="125" t="s">
        <v>68</v>
      </c>
      <c r="N9" s="126" t="s">
        <v>69</v>
      </c>
    </row>
    <row r="10" spans="2:14" x14ac:dyDescent="0.3">
      <c r="B10" s="33" t="str">
        <f>'DADOS DO CONTRATO E CAPITALIZ'!B10</f>
        <v>tarifa de avaliação</v>
      </c>
      <c r="C10" s="122"/>
      <c r="D10" s="34"/>
      <c r="E10" s="14"/>
      <c r="J10" s="57" t="s">
        <v>74</v>
      </c>
      <c r="K10" s="57">
        <f>K8/K9</f>
        <v>1213.0607997617731</v>
      </c>
      <c r="M10" s="125" t="s">
        <v>70</v>
      </c>
      <c r="N10" s="126" t="s">
        <v>71</v>
      </c>
    </row>
    <row r="11" spans="2:14" x14ac:dyDescent="0.3">
      <c r="B11" s="33" t="str">
        <f>'DADOS DO CONTRATO E CAPITALIZ'!B11</f>
        <v>seguro</v>
      </c>
      <c r="C11" s="122"/>
      <c r="D11" s="34"/>
      <c r="E11" s="14"/>
      <c r="F11" s="153" t="s">
        <v>48</v>
      </c>
      <c r="G11" s="154"/>
      <c r="H11" s="39">
        <v>5.0099999999999999E-2</v>
      </c>
    </row>
    <row r="12" spans="2:14" x14ac:dyDescent="0.3">
      <c r="B12" s="33" t="str">
        <f>'DADOS DO CONTRATO E CAPITALIZ'!B12</f>
        <v>registro no órgão de trânsito</v>
      </c>
      <c r="C12" s="122"/>
      <c r="D12" s="34"/>
      <c r="E12" s="14"/>
      <c r="F12" s="158" t="s">
        <v>49</v>
      </c>
      <c r="G12" s="159"/>
      <c r="H12" s="40">
        <f>((1+H11)^12)-1</f>
        <v>0.79790980866368799</v>
      </c>
    </row>
    <row r="13" spans="2:14" x14ac:dyDescent="0.3">
      <c r="B13" s="33" t="str">
        <f>'DADOS DO CONTRATO E CAPITALIZ'!B13</f>
        <v>Outros:</v>
      </c>
      <c r="C13" s="122"/>
      <c r="D13" s="34">
        <f>'DADOS DO CONTRATO E CAPITALIZ'!C13</f>
        <v>0</v>
      </c>
      <c r="E13" s="14"/>
      <c r="F13" s="153" t="s">
        <v>20</v>
      </c>
      <c r="G13" s="154"/>
      <c r="H13" s="39">
        <f>'tabela price_FINANCEIRA'!G11</f>
        <v>0.25801600000000002</v>
      </c>
    </row>
    <row r="14" spans="2:14" x14ac:dyDescent="0.3">
      <c r="B14" s="35" t="s">
        <v>16</v>
      </c>
      <c r="C14" s="123"/>
      <c r="D14" s="36">
        <f>SUM(D7:D13)</f>
        <v>8142.61</v>
      </c>
      <c r="E14" s="14"/>
      <c r="F14" s="158" t="s">
        <v>21</v>
      </c>
      <c r="G14" s="159"/>
      <c r="H14" s="39">
        <f>'tabela price_FINANCEIRA'!G12</f>
        <v>0</v>
      </c>
    </row>
    <row r="15" spans="2:14" x14ac:dyDescent="0.3">
      <c r="B15" s="37" t="s">
        <v>7</v>
      </c>
      <c r="C15" s="124"/>
      <c r="D15" s="38">
        <f>'DADOS DO CONTRATO E CAPITALIZ'!F5</f>
        <v>44440</v>
      </c>
      <c r="E15" s="14"/>
    </row>
    <row r="17" spans="2:8" x14ac:dyDescent="0.3">
      <c r="B17" s="166" t="s">
        <v>41</v>
      </c>
      <c r="C17" s="166"/>
      <c r="D17" s="166"/>
      <c r="E17" s="166"/>
      <c r="F17" s="166"/>
      <c r="G17" s="166"/>
      <c r="H17" s="166"/>
    </row>
    <row r="18" spans="2:8" s="130" customFormat="1" ht="29.4" customHeight="1" x14ac:dyDescent="0.3">
      <c r="B18" s="127" t="s">
        <v>42</v>
      </c>
      <c r="C18" s="127" t="s">
        <v>75</v>
      </c>
      <c r="D18" s="128" t="s">
        <v>43</v>
      </c>
      <c r="E18" s="129" t="s">
        <v>44</v>
      </c>
      <c r="F18" s="127" t="s">
        <v>45</v>
      </c>
      <c r="G18" s="127" t="s">
        <v>46</v>
      </c>
      <c r="H18" s="129" t="s">
        <v>47</v>
      </c>
    </row>
    <row r="19" spans="2:8" x14ac:dyDescent="0.3">
      <c r="B19" s="84">
        <v>0</v>
      </c>
      <c r="C19" s="84"/>
      <c r="D19" s="85">
        <f>'DADOS DO CONTRATO E CAPITALIZ'!F4</f>
        <v>44413</v>
      </c>
      <c r="E19" s="87"/>
      <c r="F19" s="84"/>
      <c r="G19" s="84"/>
      <c r="H19" s="86">
        <f>D14</f>
        <v>8142.61</v>
      </c>
    </row>
    <row r="20" spans="2:8" x14ac:dyDescent="0.3">
      <c r="B20" s="84">
        <v>1</v>
      </c>
      <c r="C20" s="131">
        <f>(($K$10*$H$8)-$D$14)/((($H$8+1)*($H$8/2)))</f>
        <v>43.385455502616246</v>
      </c>
      <c r="D20" s="85">
        <f>D15</f>
        <v>44440</v>
      </c>
      <c r="E20" s="120">
        <f>K10</f>
        <v>1213.0607997617731</v>
      </c>
      <c r="F20" s="89">
        <f>C20*($H$8-B19)</f>
        <v>347.08364402092997</v>
      </c>
      <c r="G20" s="89">
        <f>E20-F20</f>
        <v>865.97715574084305</v>
      </c>
      <c r="H20" s="86">
        <f>H19-G20</f>
        <v>7276.6328442591566</v>
      </c>
    </row>
    <row r="21" spans="2:8" x14ac:dyDescent="0.3">
      <c r="B21" s="84">
        <v>2</v>
      </c>
      <c r="C21" s="131">
        <f t="shared" ref="C21:C27" si="0">(($K$10*$H$8)-$D$14)/((($H$8+1)*($H$8/2)))</f>
        <v>43.385455502616246</v>
      </c>
      <c r="D21" s="85">
        <f>EDATE(D20,1)</f>
        <v>44470</v>
      </c>
      <c r="E21" s="88">
        <f>E20</f>
        <v>1213.0607997617731</v>
      </c>
      <c r="F21" s="89">
        <f t="shared" ref="F21:F27" si="1">C21*($H$8-B20)</f>
        <v>303.69818851831371</v>
      </c>
      <c r="G21" s="89">
        <f t="shared" ref="G21:G27" si="2">E21-F21</f>
        <v>909.36261124345936</v>
      </c>
      <c r="H21" s="86">
        <f t="shared" ref="H21:H27" si="3">H20-G21</f>
        <v>6367.2702330156972</v>
      </c>
    </row>
    <row r="22" spans="2:8" x14ac:dyDescent="0.3">
      <c r="B22" s="84">
        <v>3</v>
      </c>
      <c r="C22" s="131">
        <f t="shared" si="0"/>
        <v>43.385455502616246</v>
      </c>
      <c r="D22" s="85">
        <f t="shared" ref="D22:D27" si="4">EDATE(D21,1)</f>
        <v>44501</v>
      </c>
      <c r="E22" s="88">
        <f t="shared" ref="E22:E27" si="5">E21</f>
        <v>1213.0607997617731</v>
      </c>
      <c r="F22" s="89">
        <f t="shared" si="1"/>
        <v>260.31273301569746</v>
      </c>
      <c r="G22" s="89">
        <f t="shared" si="2"/>
        <v>952.74806674607566</v>
      </c>
      <c r="H22" s="86">
        <f t="shared" si="3"/>
        <v>5414.5221662696213</v>
      </c>
    </row>
    <row r="23" spans="2:8" x14ac:dyDescent="0.3">
      <c r="B23" s="84">
        <v>4</v>
      </c>
      <c r="C23" s="131">
        <f t="shared" si="0"/>
        <v>43.385455502616246</v>
      </c>
      <c r="D23" s="85">
        <f t="shared" si="4"/>
        <v>44531</v>
      </c>
      <c r="E23" s="88">
        <f t="shared" si="5"/>
        <v>1213.0607997617731</v>
      </c>
      <c r="F23" s="89">
        <f t="shared" si="1"/>
        <v>216.92727751308124</v>
      </c>
      <c r="G23" s="89">
        <f t="shared" si="2"/>
        <v>996.13352224869186</v>
      </c>
      <c r="H23" s="86">
        <f t="shared" si="3"/>
        <v>4418.3886440209299</v>
      </c>
    </row>
    <row r="24" spans="2:8" x14ac:dyDescent="0.3">
      <c r="B24" s="84">
        <v>5</v>
      </c>
      <c r="C24" s="131">
        <f t="shared" si="0"/>
        <v>43.385455502616246</v>
      </c>
      <c r="D24" s="85">
        <f t="shared" si="4"/>
        <v>44562</v>
      </c>
      <c r="E24" s="88">
        <f t="shared" si="5"/>
        <v>1213.0607997617731</v>
      </c>
      <c r="F24" s="89">
        <f t="shared" si="1"/>
        <v>173.54182201046498</v>
      </c>
      <c r="G24" s="89">
        <f t="shared" si="2"/>
        <v>1039.5189777513081</v>
      </c>
      <c r="H24" s="86">
        <f t="shared" si="3"/>
        <v>3378.869666269622</v>
      </c>
    </row>
    <row r="25" spans="2:8" x14ac:dyDescent="0.3">
      <c r="B25" s="84">
        <v>6</v>
      </c>
      <c r="C25" s="131">
        <f t="shared" si="0"/>
        <v>43.385455502616246</v>
      </c>
      <c r="D25" s="85">
        <f t="shared" si="4"/>
        <v>44593</v>
      </c>
      <c r="E25" s="88">
        <f t="shared" si="5"/>
        <v>1213.0607997617731</v>
      </c>
      <c r="F25" s="89">
        <f t="shared" si="1"/>
        <v>130.15636650784873</v>
      </c>
      <c r="G25" s="89">
        <f t="shared" si="2"/>
        <v>1082.9044332539243</v>
      </c>
      <c r="H25" s="86">
        <f t="shared" si="3"/>
        <v>2295.9652330156978</v>
      </c>
    </row>
    <row r="26" spans="2:8" x14ac:dyDescent="0.3">
      <c r="B26" s="84">
        <v>7</v>
      </c>
      <c r="C26" s="131">
        <f t="shared" si="0"/>
        <v>43.385455502616246</v>
      </c>
      <c r="D26" s="85">
        <f t="shared" si="4"/>
        <v>44621</v>
      </c>
      <c r="E26" s="88">
        <f t="shared" si="5"/>
        <v>1213.0607997617731</v>
      </c>
      <c r="F26" s="89">
        <f t="shared" si="1"/>
        <v>86.770911005232492</v>
      </c>
      <c r="G26" s="89">
        <f t="shared" si="2"/>
        <v>1126.2898887565407</v>
      </c>
      <c r="H26" s="86">
        <f t="shared" si="3"/>
        <v>1169.6753442591571</v>
      </c>
    </row>
    <row r="27" spans="2:8" x14ac:dyDescent="0.3">
      <c r="B27" s="84">
        <v>8</v>
      </c>
      <c r="C27" s="131">
        <f t="shared" si="0"/>
        <v>43.385455502616246</v>
      </c>
      <c r="D27" s="85">
        <f t="shared" si="4"/>
        <v>44652</v>
      </c>
      <c r="E27" s="88">
        <f t="shared" si="5"/>
        <v>1213.0607997617731</v>
      </c>
      <c r="F27" s="89">
        <f t="shared" si="1"/>
        <v>43.385455502616246</v>
      </c>
      <c r="G27" s="89">
        <f t="shared" si="2"/>
        <v>1169.6753442591569</v>
      </c>
      <c r="H27" s="86">
        <f t="shared" si="3"/>
        <v>0</v>
      </c>
    </row>
    <row r="28" spans="2:8" x14ac:dyDescent="0.3">
      <c r="B28" s="84">
        <v>9</v>
      </c>
      <c r="C28" s="131"/>
      <c r="D28" s="85"/>
      <c r="E28" s="88"/>
      <c r="F28" s="89"/>
      <c r="G28" s="89"/>
      <c r="H28" s="86"/>
    </row>
    <row r="29" spans="2:8" x14ac:dyDescent="0.3">
      <c r="B29" s="84">
        <v>10</v>
      </c>
      <c r="C29" s="131"/>
      <c r="D29" s="85"/>
      <c r="E29" s="88"/>
      <c r="F29" s="89"/>
      <c r="G29" s="89"/>
      <c r="H29" s="90"/>
    </row>
    <row r="30" spans="2:8" x14ac:dyDescent="0.3">
      <c r="B30" s="84">
        <v>11</v>
      </c>
      <c r="C30" s="131"/>
      <c r="D30" s="85"/>
      <c r="E30" s="88"/>
      <c r="F30" s="89"/>
      <c r="G30" s="89"/>
      <c r="H30" s="86"/>
    </row>
    <row r="31" spans="2:8" x14ac:dyDescent="0.3">
      <c r="B31" s="84">
        <v>12</v>
      </c>
      <c r="C31" s="131"/>
      <c r="D31" s="85"/>
      <c r="E31" s="88"/>
      <c r="F31" s="89"/>
      <c r="G31" s="89"/>
      <c r="H31" s="91"/>
    </row>
    <row r="32" spans="2:8" x14ac:dyDescent="0.3">
      <c r="B32" s="84">
        <v>13</v>
      </c>
      <c r="C32" s="131"/>
      <c r="D32" s="85"/>
      <c r="E32" s="88"/>
      <c r="F32" s="89"/>
      <c r="G32" s="89"/>
      <c r="H32" s="91"/>
    </row>
    <row r="33" spans="2:8" x14ac:dyDescent="0.3">
      <c r="B33" s="84">
        <v>14</v>
      </c>
      <c r="C33" s="131"/>
      <c r="D33" s="85"/>
      <c r="E33" s="88"/>
      <c r="F33" s="89"/>
      <c r="G33" s="89"/>
      <c r="H33" s="91"/>
    </row>
    <row r="34" spans="2:8" x14ac:dyDescent="0.3">
      <c r="B34" s="84">
        <v>15</v>
      </c>
      <c r="C34" s="131"/>
      <c r="D34" s="85"/>
      <c r="E34" s="88"/>
      <c r="F34" s="89"/>
      <c r="G34" s="89"/>
      <c r="H34" s="91"/>
    </row>
    <row r="35" spans="2:8" x14ac:dyDescent="0.3">
      <c r="B35" s="84">
        <v>16</v>
      </c>
      <c r="C35" s="131"/>
      <c r="D35" s="85"/>
      <c r="E35" s="88"/>
      <c r="F35" s="89"/>
      <c r="G35" s="89"/>
      <c r="H35" s="91"/>
    </row>
    <row r="36" spans="2:8" x14ac:dyDescent="0.3">
      <c r="B36" s="84">
        <v>17</v>
      </c>
      <c r="C36" s="131"/>
      <c r="D36" s="85"/>
      <c r="E36" s="88"/>
      <c r="F36" s="89"/>
      <c r="G36" s="89"/>
      <c r="H36" s="91"/>
    </row>
    <row r="37" spans="2:8" x14ac:dyDescent="0.3">
      <c r="B37" s="84">
        <v>18</v>
      </c>
      <c r="C37" s="131"/>
      <c r="D37" s="85"/>
      <c r="E37" s="88"/>
      <c r="F37" s="89"/>
      <c r="G37" s="89"/>
      <c r="H37" s="91"/>
    </row>
    <row r="38" spans="2:8" x14ac:dyDescent="0.3">
      <c r="B38" s="84">
        <v>19</v>
      </c>
      <c r="C38" s="131"/>
      <c r="D38" s="85"/>
      <c r="E38" s="88"/>
      <c r="F38" s="89"/>
      <c r="G38" s="89"/>
      <c r="H38" s="91"/>
    </row>
    <row r="39" spans="2:8" x14ac:dyDescent="0.3">
      <c r="B39" s="84">
        <v>20</v>
      </c>
      <c r="C39" s="131"/>
      <c r="D39" s="85"/>
      <c r="E39" s="88"/>
      <c r="F39" s="89"/>
      <c r="G39" s="89"/>
      <c r="H39" s="91"/>
    </row>
    <row r="40" spans="2:8" x14ac:dyDescent="0.3">
      <c r="B40" s="84">
        <v>21</v>
      </c>
      <c r="C40" s="131"/>
      <c r="D40" s="85"/>
      <c r="E40" s="88"/>
      <c r="F40" s="89"/>
      <c r="G40" s="89"/>
      <c r="H40" s="91"/>
    </row>
    <row r="41" spans="2:8" x14ac:dyDescent="0.3">
      <c r="B41" s="84">
        <v>22</v>
      </c>
      <c r="C41" s="131"/>
      <c r="D41" s="85"/>
      <c r="E41" s="88"/>
      <c r="F41" s="89"/>
      <c r="G41" s="89"/>
      <c r="H41" s="91"/>
    </row>
    <row r="42" spans="2:8" x14ac:dyDescent="0.3">
      <c r="B42" s="84">
        <v>23</v>
      </c>
      <c r="C42" s="131"/>
      <c r="D42" s="85"/>
      <c r="E42" s="88"/>
      <c r="F42" s="89"/>
      <c r="G42" s="89"/>
      <c r="H42" s="91"/>
    </row>
    <row r="43" spans="2:8" x14ac:dyDescent="0.3">
      <c r="B43" s="84">
        <v>24</v>
      </c>
      <c r="C43" s="131"/>
      <c r="D43" s="85"/>
      <c r="E43" s="88"/>
      <c r="F43" s="89"/>
      <c r="G43" s="89"/>
      <c r="H43" s="91"/>
    </row>
    <row r="44" spans="2:8" x14ac:dyDescent="0.3">
      <c r="B44" s="84">
        <v>25</v>
      </c>
      <c r="C44" s="131"/>
      <c r="D44" s="85"/>
      <c r="E44" s="88"/>
      <c r="F44" s="89"/>
      <c r="G44" s="89"/>
      <c r="H44" s="91"/>
    </row>
    <row r="45" spans="2:8" x14ac:dyDescent="0.3">
      <c r="B45" s="84">
        <v>26</v>
      </c>
      <c r="C45" s="131"/>
      <c r="D45" s="85"/>
      <c r="E45" s="88"/>
      <c r="F45" s="89"/>
      <c r="G45" s="89"/>
      <c r="H45" s="91"/>
    </row>
    <row r="46" spans="2:8" x14ac:dyDescent="0.3">
      <c r="B46" s="84">
        <v>27</v>
      </c>
      <c r="C46" s="131"/>
      <c r="D46" s="85"/>
      <c r="E46" s="88"/>
      <c r="F46" s="89"/>
      <c r="G46" s="89"/>
      <c r="H46" s="91"/>
    </row>
    <row r="47" spans="2:8" x14ac:dyDescent="0.3">
      <c r="B47" s="84">
        <v>28</v>
      </c>
      <c r="C47" s="131"/>
      <c r="D47" s="85"/>
      <c r="E47" s="88"/>
      <c r="F47" s="89"/>
      <c r="G47" s="89"/>
      <c r="H47" s="91"/>
    </row>
    <row r="48" spans="2:8" x14ac:dyDescent="0.3">
      <c r="B48" s="84">
        <v>29</v>
      </c>
      <c r="C48" s="131"/>
      <c r="D48" s="85"/>
      <c r="E48" s="88"/>
      <c r="F48" s="89"/>
      <c r="G48" s="89"/>
      <c r="H48" s="91"/>
    </row>
    <row r="49" spans="2:8" x14ac:dyDescent="0.3">
      <c r="B49" s="84">
        <v>30</v>
      </c>
      <c r="C49" s="131"/>
      <c r="D49" s="85"/>
      <c r="E49" s="88"/>
      <c r="F49" s="89"/>
      <c r="G49" s="89"/>
      <c r="H49" s="91"/>
    </row>
    <row r="50" spans="2:8" x14ac:dyDescent="0.3">
      <c r="B50" s="84">
        <v>31</v>
      </c>
      <c r="C50" s="131"/>
      <c r="D50" s="85"/>
      <c r="E50" s="88"/>
      <c r="F50" s="89"/>
      <c r="G50" s="89"/>
      <c r="H50" s="91"/>
    </row>
    <row r="51" spans="2:8" x14ac:dyDescent="0.3">
      <c r="B51" s="84">
        <v>32</v>
      </c>
      <c r="C51" s="131"/>
      <c r="D51" s="85"/>
      <c r="E51" s="88"/>
      <c r="F51" s="89"/>
      <c r="G51" s="89"/>
      <c r="H51" s="91"/>
    </row>
    <row r="52" spans="2:8" x14ac:dyDescent="0.3">
      <c r="B52" s="84">
        <v>33</v>
      </c>
      <c r="C52" s="131"/>
      <c r="D52" s="85"/>
      <c r="E52" s="88"/>
      <c r="F52" s="89"/>
      <c r="G52" s="89"/>
      <c r="H52" s="91"/>
    </row>
    <row r="53" spans="2:8" x14ac:dyDescent="0.3">
      <c r="B53" s="84">
        <v>34</v>
      </c>
      <c r="C53" s="131"/>
      <c r="D53" s="85"/>
      <c r="E53" s="88"/>
      <c r="F53" s="89"/>
      <c r="G53" s="89"/>
      <c r="H53" s="91"/>
    </row>
    <row r="54" spans="2:8" x14ac:dyDescent="0.3">
      <c r="B54" s="84">
        <v>35</v>
      </c>
      <c r="C54" s="131"/>
      <c r="D54" s="85"/>
      <c r="E54" s="88"/>
      <c r="F54" s="89"/>
      <c r="G54" s="89"/>
      <c r="H54" s="91"/>
    </row>
    <row r="55" spans="2:8" x14ac:dyDescent="0.3">
      <c r="B55" s="84">
        <v>36</v>
      </c>
      <c r="C55" s="131"/>
      <c r="D55" s="85"/>
      <c r="E55" s="88"/>
      <c r="F55" s="89"/>
      <c r="G55" s="89"/>
      <c r="H55" s="91"/>
    </row>
    <row r="56" spans="2:8" x14ac:dyDescent="0.3">
      <c r="B56" s="84">
        <v>37</v>
      </c>
      <c r="C56" s="131"/>
      <c r="D56" s="85"/>
      <c r="E56" s="88"/>
      <c r="F56" s="89"/>
      <c r="G56" s="89"/>
      <c r="H56" s="91"/>
    </row>
    <row r="57" spans="2:8" x14ac:dyDescent="0.3">
      <c r="B57" s="84">
        <v>38</v>
      </c>
      <c r="C57" s="131"/>
      <c r="D57" s="85"/>
      <c r="E57" s="88"/>
      <c r="F57" s="89"/>
      <c r="G57" s="89"/>
      <c r="H57" s="91"/>
    </row>
    <row r="58" spans="2:8" x14ac:dyDescent="0.3">
      <c r="B58" s="84">
        <v>39</v>
      </c>
      <c r="C58" s="131"/>
      <c r="D58" s="85"/>
      <c r="E58" s="88"/>
      <c r="F58" s="89"/>
      <c r="G58" s="89"/>
      <c r="H58" s="91"/>
    </row>
    <row r="59" spans="2:8" x14ac:dyDescent="0.3">
      <c r="B59" s="84">
        <v>40</v>
      </c>
      <c r="C59" s="131"/>
      <c r="D59" s="85"/>
      <c r="E59" s="88"/>
      <c r="F59" s="89"/>
      <c r="G59" s="89"/>
      <c r="H59" s="91"/>
    </row>
    <row r="60" spans="2:8" x14ac:dyDescent="0.3">
      <c r="B60" s="84">
        <v>41</v>
      </c>
      <c r="C60" s="131"/>
      <c r="D60" s="85"/>
      <c r="E60" s="88"/>
      <c r="F60" s="89"/>
      <c r="G60" s="89"/>
      <c r="H60" s="91"/>
    </row>
    <row r="61" spans="2:8" x14ac:dyDescent="0.3">
      <c r="B61" s="84">
        <v>42</v>
      </c>
      <c r="C61" s="131"/>
      <c r="D61" s="85"/>
      <c r="E61" s="88"/>
      <c r="F61" s="89"/>
      <c r="G61" s="89"/>
      <c r="H61" s="91"/>
    </row>
    <row r="62" spans="2:8" x14ac:dyDescent="0.3">
      <c r="B62" s="84">
        <v>43</v>
      </c>
      <c r="C62" s="131"/>
      <c r="D62" s="85"/>
      <c r="E62" s="88"/>
      <c r="F62" s="89"/>
      <c r="G62" s="89"/>
      <c r="H62" s="91"/>
    </row>
    <row r="63" spans="2:8" x14ac:dyDescent="0.3">
      <c r="B63" s="84">
        <v>44</v>
      </c>
      <c r="C63" s="131"/>
      <c r="D63" s="85"/>
      <c r="E63" s="88"/>
      <c r="F63" s="89"/>
      <c r="G63" s="89"/>
      <c r="H63" s="91"/>
    </row>
    <row r="64" spans="2:8" x14ac:dyDescent="0.3">
      <c r="B64" s="84">
        <v>45</v>
      </c>
      <c r="C64" s="131"/>
      <c r="D64" s="85"/>
      <c r="E64" s="88"/>
      <c r="F64" s="89"/>
      <c r="G64" s="89"/>
      <c r="H64" s="91"/>
    </row>
    <row r="65" spans="2:8" x14ac:dyDescent="0.3">
      <c r="B65" s="84">
        <v>46</v>
      </c>
      <c r="C65" s="131"/>
      <c r="D65" s="85"/>
      <c r="E65" s="88"/>
      <c r="F65" s="89"/>
      <c r="G65" s="89"/>
      <c r="H65" s="91"/>
    </row>
    <row r="66" spans="2:8" x14ac:dyDescent="0.3">
      <c r="B66" s="84">
        <v>47</v>
      </c>
      <c r="C66" s="131"/>
      <c r="D66" s="85"/>
      <c r="E66" s="88"/>
      <c r="F66" s="89"/>
      <c r="G66" s="89"/>
      <c r="H66" s="91"/>
    </row>
    <row r="67" spans="2:8" x14ac:dyDescent="0.3">
      <c r="B67" s="84">
        <v>48</v>
      </c>
      <c r="C67" s="131"/>
      <c r="D67" s="85"/>
      <c r="E67" s="88"/>
      <c r="F67" s="89"/>
      <c r="G67" s="89"/>
      <c r="H67" s="91"/>
    </row>
    <row r="72" spans="2:8" x14ac:dyDescent="0.3">
      <c r="B72" t="s">
        <v>80</v>
      </c>
    </row>
    <row r="73" spans="2:8" x14ac:dyDescent="0.3">
      <c r="B73" t="s">
        <v>79</v>
      </c>
    </row>
  </sheetData>
  <mergeCells count="14">
    <mergeCell ref="F11:G11"/>
    <mergeCell ref="F12:G12"/>
    <mergeCell ref="F13:G13"/>
    <mergeCell ref="F14:G14"/>
    <mergeCell ref="B17:H17"/>
    <mergeCell ref="F8:G8"/>
    <mergeCell ref="F9:G9"/>
    <mergeCell ref="J1:N1"/>
    <mergeCell ref="J7:K7"/>
    <mergeCell ref="C3:H3"/>
    <mergeCell ref="C4:H4"/>
    <mergeCell ref="C5:D5"/>
    <mergeCell ref="B1:H1"/>
    <mergeCell ref="F7:G7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6149" r:id="rId4">
          <objectPr defaultSize="0" autoPict="0" r:id="rId5">
            <anchor moveWithCells="1" sizeWithCells="1">
              <from>
                <xdr:col>9</xdr:col>
                <xdr:colOff>403860</xdr:colOff>
                <xdr:row>1</xdr:row>
                <xdr:rowOff>91440</xdr:rowOff>
              </from>
              <to>
                <xdr:col>13</xdr:col>
                <xdr:colOff>434340</xdr:colOff>
                <xdr:row>5</xdr:row>
                <xdr:rowOff>106680</xdr:rowOff>
              </to>
            </anchor>
          </objectPr>
        </oleObject>
      </mc:Choice>
      <mc:Fallback>
        <oleObject progId="Equation.3" shapeId="614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70"/>
  <sheetViews>
    <sheetView topLeftCell="A16" zoomScaleNormal="100" workbookViewId="0">
      <selection activeCell="C15" sqref="C15"/>
    </sheetView>
  </sheetViews>
  <sheetFormatPr defaultRowHeight="14.4" x14ac:dyDescent="0.3"/>
  <cols>
    <col min="1" max="1" width="2.6640625" customWidth="1"/>
    <col min="2" max="2" width="19.5546875" customWidth="1"/>
    <col min="3" max="3" width="14.33203125" style="12" bestFit="1" customWidth="1"/>
    <col min="4" max="4" width="12.5546875" style="12" customWidth="1"/>
    <col min="5" max="5" width="13.6640625" style="2" customWidth="1"/>
    <col min="6" max="6" width="16" style="4" customWidth="1"/>
    <col min="7" max="7" width="13.88671875" style="4" customWidth="1"/>
    <col min="8" max="8" width="25.5546875" style="5" bestFit="1" customWidth="1"/>
    <col min="9" max="9" width="13.5546875" bestFit="1" customWidth="1"/>
    <col min="10" max="10" width="13.33203125" bestFit="1" customWidth="1"/>
  </cols>
  <sheetData>
    <row r="1" spans="2:9" ht="17.399999999999999" x14ac:dyDescent="0.35">
      <c r="B1" s="150" t="s">
        <v>50</v>
      </c>
      <c r="C1" s="151"/>
      <c r="D1" s="151"/>
      <c r="E1" s="151"/>
      <c r="F1" s="151"/>
      <c r="G1" s="151"/>
      <c r="H1" s="152"/>
    </row>
    <row r="2" spans="2:9" ht="17.399999999999999" x14ac:dyDescent="0.35">
      <c r="B2" s="53"/>
      <c r="C2" s="53"/>
      <c r="D2" s="53"/>
      <c r="E2" s="53"/>
      <c r="F2" s="53"/>
      <c r="G2" s="53"/>
      <c r="H2" s="53"/>
    </row>
    <row r="3" spans="2:9" x14ac:dyDescent="0.3">
      <c r="B3" s="15" t="s">
        <v>36</v>
      </c>
      <c r="C3" s="144" t="str">
        <f>'DADOS DO CONTRATO E CAPITALIZ'!C3</f>
        <v>XXXXXXXX</v>
      </c>
      <c r="D3" s="144"/>
      <c r="E3" s="145"/>
      <c r="F3" s="145"/>
      <c r="G3" s="145"/>
      <c r="H3" s="146"/>
    </row>
    <row r="4" spans="2:9" x14ac:dyDescent="0.3">
      <c r="B4" s="17" t="s">
        <v>37</v>
      </c>
      <c r="C4" s="147" t="str">
        <f>'DADOS DO CONTRATO E CAPITALIZ'!C4</f>
        <v>XXXXXXXX</v>
      </c>
      <c r="D4" s="147"/>
      <c r="E4" s="148"/>
      <c r="F4" s="148"/>
      <c r="G4" s="148"/>
      <c r="H4" s="149"/>
    </row>
    <row r="5" spans="2:9" x14ac:dyDescent="0.3">
      <c r="B5" s="18" t="s">
        <v>38</v>
      </c>
      <c r="C5" s="22" t="str">
        <f>'DADOS DO CONTRATO E CAPITALIZ'!C5</f>
        <v>0000</v>
      </c>
      <c r="D5" s="22"/>
      <c r="E5" s="19"/>
      <c r="F5" s="102" t="s">
        <v>39</v>
      </c>
      <c r="G5" s="20"/>
      <c r="H5" s="23">
        <f>'DADOS DO CONTRATO E CAPITALIZ'!F4</f>
        <v>44413</v>
      </c>
    </row>
    <row r="6" spans="2:9" x14ac:dyDescent="0.3">
      <c r="B6" s="1"/>
      <c r="E6" s="14"/>
    </row>
    <row r="7" spans="2:9" x14ac:dyDescent="0.3">
      <c r="B7" s="31" t="s">
        <v>9</v>
      </c>
      <c r="C7" s="32">
        <f>'DADOS DO CONTRATO E CAPITALIZ'!C7</f>
        <v>8000</v>
      </c>
      <c r="D7" s="55"/>
      <c r="E7" s="66" t="s">
        <v>17</v>
      </c>
      <c r="F7" s="67"/>
      <c r="G7" s="32">
        <f>'DADOS DO CONTRATO E CAPITALIZ'!C17</f>
        <v>2428.9</v>
      </c>
      <c r="H7"/>
    </row>
    <row r="8" spans="2:9" x14ac:dyDescent="0.3">
      <c r="B8" s="33" t="str">
        <f>'DADOS DO CONTRATO E CAPITALIZ'!B8</f>
        <v>IOF financiado</v>
      </c>
      <c r="C8" s="34">
        <f>'DADOS DO CONTRATO E CAPITALIZ'!C8</f>
        <v>142.61000000000001</v>
      </c>
      <c r="D8" s="55"/>
      <c r="E8" s="68" t="s">
        <v>18</v>
      </c>
      <c r="F8" s="69"/>
      <c r="G8" s="41">
        <f>'DADOS DO CONTRATO E CAPITALIZ'!C18</f>
        <v>8</v>
      </c>
      <c r="H8"/>
    </row>
    <row r="9" spans="2:9" x14ac:dyDescent="0.3">
      <c r="B9" s="33" t="str">
        <f>'DADOS DO CONTRATO E CAPITALIZ'!B9</f>
        <v>IOF adicional</v>
      </c>
      <c r="C9" s="34">
        <f>'DADOS DO CONTRATO E CAPITALIZ'!C9</f>
        <v>0</v>
      </c>
      <c r="D9" s="55"/>
      <c r="E9" s="70" t="s">
        <v>40</v>
      </c>
      <c r="F9" s="71"/>
      <c r="G9" s="42">
        <f>'DADOS DO CONTRATO E CAPITALIZ'!C19</f>
        <v>19431.2</v>
      </c>
      <c r="H9"/>
    </row>
    <row r="10" spans="2:9" x14ac:dyDescent="0.3">
      <c r="B10" s="33" t="str">
        <f>'DADOS DO CONTRATO E CAPITALIZ'!B10</f>
        <v>tarifa de avaliação</v>
      </c>
      <c r="C10" s="34">
        <f>'DADOS DO CONTRATO E CAPITALIZ'!C10</f>
        <v>0</v>
      </c>
      <c r="D10" s="55"/>
      <c r="E10" s="4"/>
      <c r="G10" s="5"/>
      <c r="H10"/>
    </row>
    <row r="11" spans="2:9" x14ac:dyDescent="0.3">
      <c r="B11" s="33" t="str">
        <f>'DADOS DO CONTRATO E CAPITALIZ'!B11</f>
        <v>seguro</v>
      </c>
      <c r="C11" s="34">
        <f>'DADOS DO CONTRATO E CAPITALIZ'!C11</f>
        <v>0</v>
      </c>
      <c r="D11" s="55"/>
      <c r="E11" s="66" t="s">
        <v>48</v>
      </c>
      <c r="F11" s="67"/>
      <c r="G11" s="39">
        <f>'juros simples_BACEN'!H11</f>
        <v>5.0099999999999999E-2</v>
      </c>
      <c r="H11" s="100" t="s">
        <v>51</v>
      </c>
      <c r="I11" s="72"/>
    </row>
    <row r="12" spans="2:9" x14ac:dyDescent="0.3">
      <c r="B12" s="33" t="str">
        <f>'DADOS DO CONTRATO E CAPITALIZ'!B12</f>
        <v>registro no órgão de trânsito</v>
      </c>
      <c r="C12" s="34">
        <f>'DADOS DO CONTRATO E CAPITALIZ'!C12</f>
        <v>0</v>
      </c>
      <c r="D12" s="55"/>
      <c r="E12" s="112" t="s">
        <v>49</v>
      </c>
      <c r="F12" s="113"/>
      <c r="G12" s="39">
        <f>'juros simples_BACEN'!H12</f>
        <v>0.79790980866368799</v>
      </c>
      <c r="H12" s="101">
        <f>(G13/G11)-1</f>
        <v>4.2724950099800401</v>
      </c>
      <c r="I12" s="73"/>
    </row>
    <row r="13" spans="2:9" x14ac:dyDescent="0.3">
      <c r="B13" s="33" t="str">
        <f>'DADOS DO CONTRATO E CAPITALIZ'!B13</f>
        <v>Outros:</v>
      </c>
      <c r="C13" s="34">
        <f>'DADOS DO CONTRATO E CAPITALIZ'!C13</f>
        <v>0</v>
      </c>
      <c r="D13" s="55"/>
      <c r="E13" s="168" t="s">
        <v>20</v>
      </c>
      <c r="F13" s="169"/>
      <c r="G13" s="25">
        <f>'tabela price_FINANCEIRA'!G13</f>
        <v>0.264152</v>
      </c>
      <c r="H13"/>
    </row>
    <row r="14" spans="2:9" x14ac:dyDescent="0.3">
      <c r="B14" s="35" t="s">
        <v>16</v>
      </c>
      <c r="C14" s="36">
        <f>SUM(C7:C13)</f>
        <v>8142.61</v>
      </c>
      <c r="D14" s="56"/>
      <c r="E14" s="170" t="s">
        <v>21</v>
      </c>
      <c r="F14" s="171"/>
      <c r="G14" s="25">
        <f>'tabela price_FINANCEIRA'!G14</f>
        <v>15.656799307973891</v>
      </c>
      <c r="H14"/>
    </row>
    <row r="15" spans="2:9" x14ac:dyDescent="0.3">
      <c r="B15" s="37" t="s">
        <v>7</v>
      </c>
      <c r="C15" s="38">
        <f>'DADOS DO CONTRATO E CAPITALIZ'!F5</f>
        <v>44440</v>
      </c>
      <c r="E15" s="5"/>
      <c r="F15"/>
      <c r="G15"/>
      <c r="H15"/>
    </row>
    <row r="17" spans="2:9" x14ac:dyDescent="0.3">
      <c r="B17" s="167" t="s">
        <v>41</v>
      </c>
      <c r="C17" s="167"/>
      <c r="D17" s="167"/>
      <c r="E17" s="167"/>
      <c r="F17" s="167"/>
      <c r="G17" s="96"/>
      <c r="H17" s="96"/>
      <c r="I17" s="96"/>
    </row>
    <row r="18" spans="2:9" s="4" customFormat="1" x14ac:dyDescent="0.3">
      <c r="B18" s="43" t="s">
        <v>42</v>
      </c>
      <c r="C18" s="44" t="s">
        <v>43</v>
      </c>
      <c r="D18" s="44" t="s">
        <v>52</v>
      </c>
      <c r="E18" s="45" t="s">
        <v>53</v>
      </c>
      <c r="F18" s="46" t="s">
        <v>54</v>
      </c>
    </row>
    <row r="19" spans="2:9" x14ac:dyDescent="0.3">
      <c r="B19" s="47">
        <v>0</v>
      </c>
      <c r="C19" s="48">
        <f>'DADOS DO CONTRATO E CAPITALIZ'!F4</f>
        <v>44413</v>
      </c>
      <c r="D19" s="48"/>
      <c r="E19" s="49"/>
      <c r="F19" s="50"/>
      <c r="G19"/>
      <c r="H19"/>
    </row>
    <row r="20" spans="2:9" x14ac:dyDescent="0.3">
      <c r="B20" s="47">
        <v>1</v>
      </c>
      <c r="C20" s="48">
        <f>C15</f>
        <v>44440</v>
      </c>
      <c r="D20" s="51">
        <f>'tabela price_FINANCEIRA'!D20</f>
        <v>2428.9</v>
      </c>
      <c r="E20" s="132">
        <f>'juros simples_BACEN'!E20</f>
        <v>1213.0607997617731</v>
      </c>
      <c r="F20" s="51">
        <f>D20-E20</f>
        <v>1215.839200238227</v>
      </c>
      <c r="G20"/>
      <c r="H20"/>
    </row>
    <row r="21" spans="2:9" x14ac:dyDescent="0.3">
      <c r="B21" s="47">
        <v>2</v>
      </c>
      <c r="C21" s="48">
        <f>EDATE(C20,1)</f>
        <v>44470</v>
      </c>
      <c r="D21" s="51">
        <f>'tabela price_FINANCEIRA'!D21</f>
        <v>2428.9</v>
      </c>
      <c r="E21" s="97">
        <f>E20</f>
        <v>1213.0607997617731</v>
      </c>
      <c r="F21" s="51">
        <f t="shared" ref="F21:F24" si="0">D21-E21</f>
        <v>1215.839200238227</v>
      </c>
      <c r="G21"/>
      <c r="H21"/>
    </row>
    <row r="22" spans="2:9" x14ac:dyDescent="0.3">
      <c r="B22" s="47">
        <v>3</v>
      </c>
      <c r="C22" s="48">
        <f t="shared" ref="C22:C24" si="1">EDATE(C21,1)</f>
        <v>44501</v>
      </c>
      <c r="D22" s="51">
        <f>'tabela price_FINANCEIRA'!D22</f>
        <v>2428.9</v>
      </c>
      <c r="E22" s="97">
        <f t="shared" ref="E22:E24" si="2">E21</f>
        <v>1213.0607997617731</v>
      </c>
      <c r="F22" s="51">
        <f t="shared" si="0"/>
        <v>1215.839200238227</v>
      </c>
      <c r="G22"/>
      <c r="H22"/>
    </row>
    <row r="23" spans="2:9" x14ac:dyDescent="0.3">
      <c r="B23" s="47">
        <v>4</v>
      </c>
      <c r="C23" s="48">
        <f t="shared" si="1"/>
        <v>44531</v>
      </c>
      <c r="D23" s="51">
        <f>'tabela price_FINANCEIRA'!D23</f>
        <v>2428.9</v>
      </c>
      <c r="E23" s="97">
        <f t="shared" si="2"/>
        <v>1213.0607997617731</v>
      </c>
      <c r="F23" s="51">
        <f t="shared" si="0"/>
        <v>1215.839200238227</v>
      </c>
      <c r="G23"/>
      <c r="H23"/>
    </row>
    <row r="24" spans="2:9" x14ac:dyDescent="0.3">
      <c r="B24" s="47">
        <v>5</v>
      </c>
      <c r="C24" s="48">
        <f t="shared" si="1"/>
        <v>44562</v>
      </c>
      <c r="D24" s="51">
        <f>'tabela price_FINANCEIRA'!D24</f>
        <v>2428.9</v>
      </c>
      <c r="E24" s="97">
        <f t="shared" si="2"/>
        <v>1213.0607997617731</v>
      </c>
      <c r="F24" s="51">
        <f t="shared" si="0"/>
        <v>1215.839200238227</v>
      </c>
      <c r="G24"/>
      <c r="H24"/>
    </row>
    <row r="25" spans="2:9" x14ac:dyDescent="0.3">
      <c r="B25" s="47">
        <v>6</v>
      </c>
      <c r="C25" s="48">
        <f>EDATE(C24,1)</f>
        <v>44593</v>
      </c>
      <c r="D25" s="51">
        <f>'tabela price_FINANCEIRA'!D25</f>
        <v>2428.9</v>
      </c>
      <c r="E25" s="97">
        <f>E24</f>
        <v>1213.0607997617731</v>
      </c>
      <c r="F25" s="51">
        <f>D25-E25</f>
        <v>1215.839200238227</v>
      </c>
      <c r="G25"/>
      <c r="H25"/>
    </row>
    <row r="26" spans="2:9" x14ac:dyDescent="0.3">
      <c r="B26" s="47">
        <v>7</v>
      </c>
      <c r="C26" s="48">
        <f>EDATE(C25,1)</f>
        <v>44621</v>
      </c>
      <c r="D26" s="51">
        <f>'tabela price_FINANCEIRA'!D26</f>
        <v>2428.9</v>
      </c>
      <c r="E26" s="97">
        <f>E25</f>
        <v>1213.0607997617731</v>
      </c>
      <c r="F26" s="51">
        <f>D26-E26</f>
        <v>1215.839200238227</v>
      </c>
      <c r="G26"/>
      <c r="H26"/>
    </row>
    <row r="27" spans="2:9" x14ac:dyDescent="0.3">
      <c r="B27" s="47">
        <v>8</v>
      </c>
      <c r="C27" s="48">
        <f>EDATE(C26,1)</f>
        <v>44652</v>
      </c>
      <c r="D27" s="51">
        <f>'tabela price_FINANCEIRA'!D27</f>
        <v>2428.9</v>
      </c>
      <c r="E27" s="97">
        <f>E26</f>
        <v>1213.0607997617731</v>
      </c>
      <c r="F27" s="51">
        <f>D27-E27</f>
        <v>1215.839200238227</v>
      </c>
      <c r="G27"/>
      <c r="H27"/>
    </row>
    <row r="28" spans="2:9" x14ac:dyDescent="0.3">
      <c r="B28" s="47">
        <v>9</v>
      </c>
      <c r="C28" s="48"/>
      <c r="D28" s="51"/>
      <c r="E28" s="97"/>
      <c r="F28" s="51"/>
      <c r="G28"/>
      <c r="H28"/>
    </row>
    <row r="29" spans="2:9" x14ac:dyDescent="0.3">
      <c r="B29" s="47">
        <v>10</v>
      </c>
      <c r="C29" s="48"/>
      <c r="D29" s="51"/>
      <c r="E29" s="97"/>
      <c r="F29" s="51"/>
      <c r="G29"/>
      <c r="H29"/>
    </row>
    <row r="30" spans="2:9" x14ac:dyDescent="0.3">
      <c r="B30" s="47">
        <v>11</v>
      </c>
      <c r="C30" s="48"/>
      <c r="D30" s="51"/>
      <c r="E30" s="97"/>
      <c r="F30" s="51"/>
      <c r="G30" s="95"/>
      <c r="H30"/>
    </row>
    <row r="31" spans="2:9" x14ac:dyDescent="0.3">
      <c r="B31" s="47">
        <v>12</v>
      </c>
      <c r="C31" s="48"/>
      <c r="D31" s="51"/>
      <c r="E31" s="97"/>
      <c r="F31" s="51"/>
      <c r="G31" s="95"/>
      <c r="H31"/>
    </row>
    <row r="32" spans="2:9" x14ac:dyDescent="0.3">
      <c r="B32" s="47">
        <v>13</v>
      </c>
      <c r="C32" s="48"/>
      <c r="D32" s="51"/>
      <c r="E32" s="97"/>
      <c r="F32" s="51"/>
      <c r="G32" s="95"/>
      <c r="H32"/>
    </row>
    <row r="33" spans="2:8" x14ac:dyDescent="0.3">
      <c r="B33" s="47">
        <v>14</v>
      </c>
      <c r="C33" s="48"/>
      <c r="D33" s="51"/>
      <c r="E33" s="97"/>
      <c r="F33" s="51"/>
      <c r="G33" s="95"/>
      <c r="H33"/>
    </row>
    <row r="34" spans="2:8" x14ac:dyDescent="0.3">
      <c r="B34" s="47">
        <v>15</v>
      </c>
      <c r="C34" s="48"/>
      <c r="D34" s="51"/>
      <c r="E34" s="97"/>
      <c r="F34" s="51"/>
      <c r="G34" s="95"/>
      <c r="H34"/>
    </row>
    <row r="35" spans="2:8" x14ac:dyDescent="0.3">
      <c r="B35" s="47">
        <v>16</v>
      </c>
      <c r="C35" s="48"/>
      <c r="D35" s="51"/>
      <c r="E35" s="97"/>
      <c r="F35" s="51"/>
      <c r="G35" s="95"/>
      <c r="H35"/>
    </row>
    <row r="36" spans="2:8" x14ac:dyDescent="0.3">
      <c r="B36" s="47">
        <v>17</v>
      </c>
      <c r="C36" s="48"/>
      <c r="D36" s="51"/>
      <c r="E36" s="97"/>
      <c r="F36" s="51"/>
      <c r="G36" s="95"/>
      <c r="H36"/>
    </row>
    <row r="37" spans="2:8" x14ac:dyDescent="0.3">
      <c r="B37" s="47">
        <v>18</v>
      </c>
      <c r="C37" s="48"/>
      <c r="D37" s="51"/>
      <c r="E37" s="97"/>
      <c r="F37" s="51"/>
      <c r="G37" s="95"/>
      <c r="H37"/>
    </row>
    <row r="38" spans="2:8" x14ac:dyDescent="0.3">
      <c r="B38" s="47">
        <v>19</v>
      </c>
      <c r="C38" s="48"/>
      <c r="D38" s="51"/>
      <c r="E38" s="97"/>
      <c r="F38" s="51"/>
      <c r="G38" s="95"/>
      <c r="H38"/>
    </row>
    <row r="39" spans="2:8" x14ac:dyDescent="0.3">
      <c r="B39" s="47">
        <v>20</v>
      </c>
      <c r="C39" s="48"/>
      <c r="D39" s="51"/>
      <c r="E39" s="97"/>
      <c r="F39" s="51"/>
      <c r="G39" s="95"/>
      <c r="H39"/>
    </row>
    <row r="40" spans="2:8" x14ac:dyDescent="0.3">
      <c r="B40" s="47">
        <v>21</v>
      </c>
      <c r="C40" s="48"/>
      <c r="D40" s="51"/>
      <c r="E40" s="97"/>
      <c r="F40" s="51"/>
      <c r="G40" s="95"/>
      <c r="H40"/>
    </row>
    <row r="41" spans="2:8" x14ac:dyDescent="0.3">
      <c r="B41" s="47">
        <v>22</v>
      </c>
      <c r="C41" s="48"/>
      <c r="D41" s="51"/>
      <c r="E41" s="97"/>
      <c r="F41" s="51"/>
      <c r="G41" s="95"/>
      <c r="H41"/>
    </row>
    <row r="42" spans="2:8" x14ac:dyDescent="0.3">
      <c r="B42" s="47">
        <v>23</v>
      </c>
      <c r="C42" s="48"/>
      <c r="D42" s="51"/>
      <c r="E42" s="97"/>
      <c r="F42" s="51"/>
      <c r="G42" s="95"/>
      <c r="H42"/>
    </row>
    <row r="43" spans="2:8" x14ac:dyDescent="0.3">
      <c r="B43" s="47">
        <v>24</v>
      </c>
      <c r="C43" s="48"/>
      <c r="D43" s="51"/>
      <c r="E43" s="97"/>
      <c r="F43" s="51"/>
      <c r="G43" s="95"/>
      <c r="H43"/>
    </row>
    <row r="44" spans="2:8" x14ac:dyDescent="0.3">
      <c r="B44" s="47">
        <v>25</v>
      </c>
      <c r="C44" s="48"/>
      <c r="D44" s="51"/>
      <c r="E44" s="97"/>
      <c r="F44" s="51"/>
      <c r="G44" s="95"/>
      <c r="H44"/>
    </row>
    <row r="45" spans="2:8" x14ac:dyDescent="0.3">
      <c r="B45" s="47">
        <v>26</v>
      </c>
      <c r="C45" s="48"/>
      <c r="D45" s="51"/>
      <c r="E45" s="97"/>
      <c r="F45" s="51"/>
      <c r="G45" s="95"/>
      <c r="H45"/>
    </row>
    <row r="46" spans="2:8" x14ac:dyDescent="0.3">
      <c r="B46" s="47">
        <v>27</v>
      </c>
      <c r="C46" s="48"/>
      <c r="D46" s="51"/>
      <c r="E46" s="97"/>
      <c r="F46" s="51"/>
      <c r="G46" s="95"/>
      <c r="H46"/>
    </row>
    <row r="47" spans="2:8" x14ac:dyDescent="0.3">
      <c r="B47" s="47">
        <v>28</v>
      </c>
      <c r="C47" s="48"/>
      <c r="D47" s="51"/>
      <c r="E47" s="97"/>
      <c r="F47" s="51"/>
      <c r="G47" s="95"/>
      <c r="H47"/>
    </row>
    <row r="48" spans="2:8" x14ac:dyDescent="0.3">
      <c r="B48" s="47">
        <v>29</v>
      </c>
      <c r="C48" s="48"/>
      <c r="D48" s="51"/>
      <c r="E48" s="97"/>
      <c r="F48" s="51"/>
      <c r="G48" s="95"/>
      <c r="H48"/>
    </row>
    <row r="49" spans="2:8" x14ac:dyDescent="0.3">
      <c r="B49" s="47">
        <v>30</v>
      </c>
      <c r="C49" s="48"/>
      <c r="D49" s="51"/>
      <c r="E49" s="97"/>
      <c r="F49" s="51"/>
      <c r="G49" s="95"/>
      <c r="H49"/>
    </row>
    <row r="50" spans="2:8" x14ac:dyDescent="0.3">
      <c r="B50" s="47">
        <v>31</v>
      </c>
      <c r="C50" s="48"/>
      <c r="D50" s="51"/>
      <c r="E50" s="97"/>
      <c r="F50" s="51"/>
      <c r="G50" s="95"/>
      <c r="H50"/>
    </row>
    <row r="51" spans="2:8" x14ac:dyDescent="0.3">
      <c r="B51" s="47">
        <v>32</v>
      </c>
      <c r="C51" s="48"/>
      <c r="D51" s="51"/>
      <c r="E51" s="97"/>
      <c r="F51" s="51"/>
      <c r="G51" s="95"/>
      <c r="H51"/>
    </row>
    <row r="52" spans="2:8" x14ac:dyDescent="0.3">
      <c r="B52" s="47">
        <v>33</v>
      </c>
      <c r="C52" s="48"/>
      <c r="D52" s="51"/>
      <c r="E52" s="97"/>
      <c r="F52" s="51"/>
      <c r="G52" s="95"/>
      <c r="H52"/>
    </row>
    <row r="53" spans="2:8" x14ac:dyDescent="0.3">
      <c r="B53" s="47">
        <v>34</v>
      </c>
      <c r="C53" s="48"/>
      <c r="D53" s="51"/>
      <c r="E53" s="97"/>
      <c r="F53" s="51"/>
      <c r="G53" s="95"/>
      <c r="H53"/>
    </row>
    <row r="54" spans="2:8" x14ac:dyDescent="0.3">
      <c r="B54" s="47">
        <v>35</v>
      </c>
      <c r="C54" s="48"/>
      <c r="D54" s="51"/>
      <c r="E54" s="97"/>
      <c r="F54" s="51"/>
      <c r="G54" s="95"/>
      <c r="H54"/>
    </row>
    <row r="55" spans="2:8" x14ac:dyDescent="0.3">
      <c r="B55" s="47">
        <v>36</v>
      </c>
      <c r="C55" s="48"/>
      <c r="D55" s="51"/>
      <c r="E55" s="97"/>
      <c r="F55" s="51"/>
      <c r="G55" s="95"/>
      <c r="H55"/>
    </row>
    <row r="56" spans="2:8" x14ac:dyDescent="0.3">
      <c r="B56" s="47">
        <v>37</v>
      </c>
      <c r="C56" s="48"/>
      <c r="D56" s="51"/>
      <c r="E56" s="97"/>
      <c r="F56" s="51"/>
      <c r="G56" s="95"/>
      <c r="H56"/>
    </row>
    <row r="57" spans="2:8" x14ac:dyDescent="0.3">
      <c r="B57" s="47">
        <v>38</v>
      </c>
      <c r="C57" s="48"/>
      <c r="D57" s="51"/>
      <c r="E57" s="97"/>
      <c r="F57" s="51"/>
      <c r="G57" s="95"/>
      <c r="H57"/>
    </row>
    <row r="58" spans="2:8" x14ac:dyDescent="0.3">
      <c r="B58" s="47">
        <v>39</v>
      </c>
      <c r="C58" s="48"/>
      <c r="D58" s="51"/>
      <c r="E58" s="97"/>
      <c r="F58" s="51"/>
      <c r="G58" s="95"/>
      <c r="H58"/>
    </row>
    <row r="59" spans="2:8" x14ac:dyDescent="0.3">
      <c r="B59" s="47">
        <v>40</v>
      </c>
      <c r="C59" s="48"/>
      <c r="D59" s="51"/>
      <c r="E59" s="97"/>
      <c r="F59" s="51"/>
      <c r="G59" s="95"/>
      <c r="H59"/>
    </row>
    <row r="60" spans="2:8" x14ac:dyDescent="0.3">
      <c r="B60" s="47">
        <v>41</v>
      </c>
      <c r="C60" s="48"/>
      <c r="D60" s="51"/>
      <c r="E60" s="97"/>
      <c r="F60" s="51"/>
      <c r="G60" s="95"/>
      <c r="H60"/>
    </row>
    <row r="61" spans="2:8" x14ac:dyDescent="0.3">
      <c r="B61" s="47">
        <v>42</v>
      </c>
      <c r="C61" s="48"/>
      <c r="D61" s="51"/>
      <c r="E61" s="97"/>
      <c r="F61" s="51"/>
      <c r="G61" s="95"/>
      <c r="H61"/>
    </row>
    <row r="62" spans="2:8" x14ac:dyDescent="0.3">
      <c r="B62" s="47">
        <v>43</v>
      </c>
      <c r="C62" s="48"/>
      <c r="D62" s="51"/>
      <c r="E62" s="97"/>
      <c r="F62" s="51"/>
      <c r="G62" s="95"/>
      <c r="H62"/>
    </row>
    <row r="63" spans="2:8" x14ac:dyDescent="0.3">
      <c r="B63" s="47">
        <v>44</v>
      </c>
      <c r="C63" s="48"/>
      <c r="D63" s="51"/>
      <c r="E63" s="97"/>
      <c r="F63" s="51"/>
      <c r="G63" s="95"/>
      <c r="H63"/>
    </row>
    <row r="64" spans="2:8" x14ac:dyDescent="0.3">
      <c r="B64" s="47">
        <v>45</v>
      </c>
      <c r="C64" s="48"/>
      <c r="D64" s="51"/>
      <c r="E64" s="97"/>
      <c r="F64" s="51"/>
      <c r="G64" s="95"/>
      <c r="H64"/>
    </row>
    <row r="65" spans="2:8" x14ac:dyDescent="0.3">
      <c r="B65" s="47">
        <v>46</v>
      </c>
      <c r="C65" s="48"/>
      <c r="D65" s="51"/>
      <c r="E65" s="97"/>
      <c r="F65" s="51"/>
      <c r="G65" s="95"/>
      <c r="H65"/>
    </row>
    <row r="66" spans="2:8" x14ac:dyDescent="0.3">
      <c r="B66" s="47">
        <v>47</v>
      </c>
      <c r="C66" s="48"/>
      <c r="D66" s="51"/>
      <c r="E66" s="97"/>
      <c r="F66" s="51"/>
      <c r="G66" s="95"/>
      <c r="H66"/>
    </row>
    <row r="67" spans="2:8" x14ac:dyDescent="0.3">
      <c r="B67" s="47">
        <v>48</v>
      </c>
      <c r="C67" s="48"/>
      <c r="D67" s="51"/>
      <c r="E67" s="97"/>
      <c r="F67" s="51"/>
      <c r="G67" s="95"/>
      <c r="H67"/>
    </row>
    <row r="68" spans="2:8" x14ac:dyDescent="0.3">
      <c r="B68" s="98" t="s">
        <v>55</v>
      </c>
      <c r="C68" s="98"/>
      <c r="D68" s="98"/>
      <c r="E68" s="98"/>
      <c r="F68" s="98">
        <f>SUM(F20:F67)</f>
        <v>9726.7136019058162</v>
      </c>
      <c r="G68"/>
      <c r="H68"/>
    </row>
    <row r="70" spans="2:8" x14ac:dyDescent="0.3">
      <c r="D70" s="99" t="s">
        <v>56</v>
      </c>
      <c r="E70" s="99"/>
      <c r="F70" s="57">
        <f>F68*2</f>
        <v>19453.427203811632</v>
      </c>
    </row>
  </sheetData>
  <mergeCells count="6">
    <mergeCell ref="B1:H1"/>
    <mergeCell ref="C3:H3"/>
    <mergeCell ref="C4:H4"/>
    <mergeCell ref="B17:F17"/>
    <mergeCell ref="E13:F13"/>
    <mergeCell ref="E14:F14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35"/>
  <sheetViews>
    <sheetView showGridLines="0" tabSelected="1" topLeftCell="A19" zoomScale="140" zoomScaleNormal="140" workbookViewId="0">
      <selection activeCell="F32" sqref="F32"/>
    </sheetView>
  </sheetViews>
  <sheetFormatPr defaultRowHeight="14.4" x14ac:dyDescent="0.3"/>
  <cols>
    <col min="2" max="2" width="31.109375" bestFit="1" customWidth="1"/>
    <col min="3" max="3" width="14.33203125" style="4" bestFit="1" customWidth="1"/>
    <col min="4" max="4" width="9.88671875" customWidth="1"/>
    <col min="5" max="5" width="30.6640625" bestFit="1" customWidth="1"/>
    <col min="6" max="6" width="15" style="4" bestFit="1" customWidth="1"/>
    <col min="7" max="7" width="48.33203125" bestFit="1" customWidth="1"/>
    <col min="8" max="8" width="14.44140625" style="4" customWidth="1"/>
  </cols>
  <sheetData>
    <row r="1" spans="2:6" ht="18" x14ac:dyDescent="0.35">
      <c r="B1" s="137" t="s">
        <v>57</v>
      </c>
      <c r="C1" s="138"/>
      <c r="D1" s="138"/>
      <c r="E1" s="138"/>
      <c r="F1" s="139"/>
    </row>
    <row r="2" spans="2:6" x14ac:dyDescent="0.3">
      <c r="B2" s="4"/>
      <c r="D2" s="4"/>
      <c r="E2" s="4"/>
    </row>
    <row r="3" spans="2:6" x14ac:dyDescent="0.3">
      <c r="B3" s="15" t="s">
        <v>1</v>
      </c>
      <c r="C3" s="172" t="str">
        <f>'DADOS DO CONTRATO E CAPITALIZ'!C3</f>
        <v>XXXXXXXX</v>
      </c>
      <c r="D3" s="172"/>
      <c r="E3" s="172"/>
      <c r="F3" s="173"/>
    </row>
    <row r="4" spans="2:6" x14ac:dyDescent="0.3">
      <c r="B4" s="15" t="s">
        <v>3</v>
      </c>
      <c r="C4" s="103" t="str">
        <f>'DADOS DO CONTRATO E CAPITALIZ'!C4</f>
        <v>XXXXXXXX</v>
      </c>
      <c r="D4" s="104"/>
      <c r="E4" s="105" t="s">
        <v>4</v>
      </c>
      <c r="F4" s="92">
        <f>'DADOS DO CONTRATO E CAPITALIZ'!F4</f>
        <v>44413</v>
      </c>
    </row>
    <row r="5" spans="2:6" x14ac:dyDescent="0.3">
      <c r="B5" s="17" t="s">
        <v>5</v>
      </c>
      <c r="C5" s="4" t="str">
        <f>'DADOS DO CONTRATO E CAPITALIZ'!C5</f>
        <v>0000</v>
      </c>
      <c r="E5" s="1" t="s">
        <v>7</v>
      </c>
      <c r="F5" s="92">
        <f>'DADOS DO CONTRATO E CAPITALIZ'!F5</f>
        <v>44440</v>
      </c>
    </row>
    <row r="6" spans="2:6" x14ac:dyDescent="0.3">
      <c r="B6" s="18"/>
      <c r="C6" s="20"/>
      <c r="D6" s="106"/>
      <c r="E6" s="107" t="s">
        <v>8</v>
      </c>
      <c r="F6" s="92">
        <f>'DADOS DO CONTRATO E CAPITALIZ'!F6</f>
        <v>44652</v>
      </c>
    </row>
    <row r="7" spans="2:6" x14ac:dyDescent="0.3">
      <c r="B7" s="1"/>
      <c r="E7" s="1"/>
      <c r="F7" s="12"/>
    </row>
    <row r="8" spans="2:6" x14ac:dyDescent="0.3">
      <c r="B8" s="174" t="s">
        <v>58</v>
      </c>
      <c r="C8" s="174"/>
      <c r="E8" s="175" t="s">
        <v>59</v>
      </c>
      <c r="F8" s="175"/>
    </row>
    <row r="9" spans="2:6" x14ac:dyDescent="0.3">
      <c r="B9" s="15" t="s">
        <v>9</v>
      </c>
      <c r="C9" s="16">
        <f>'DADOS DO CONTRATO E CAPITALIZ'!C7</f>
        <v>8000</v>
      </c>
      <c r="E9" s="15" t="s">
        <v>9</v>
      </c>
      <c r="F9" s="16">
        <f>C9</f>
        <v>8000</v>
      </c>
    </row>
    <row r="10" spans="2:6" x14ac:dyDescent="0.3">
      <c r="B10" s="17" t="str">
        <f>'DADOS DO CONTRATO E CAPITALIZ'!B8</f>
        <v>IOF financiado</v>
      </c>
      <c r="C10" s="76">
        <f>'DADOS DO CONTRATO E CAPITALIZ'!C8</f>
        <v>142.61000000000001</v>
      </c>
      <c r="E10" s="17" t="str">
        <f>B10</f>
        <v>IOF financiado</v>
      </c>
      <c r="F10" s="76">
        <f>C10</f>
        <v>142.61000000000001</v>
      </c>
    </row>
    <row r="11" spans="2:6" x14ac:dyDescent="0.3">
      <c r="B11" s="17" t="str">
        <f>'DADOS DO CONTRATO E CAPITALIZ'!B9</f>
        <v>IOF adicional</v>
      </c>
      <c r="C11" s="76">
        <f>'DADOS DO CONTRATO E CAPITALIZ'!C9</f>
        <v>0</v>
      </c>
      <c r="E11" s="17" t="str">
        <f t="shared" ref="E11:E15" si="0">B11</f>
        <v>IOF adicional</v>
      </c>
      <c r="F11" s="76">
        <f>'juros simples_BACEN'!D9</f>
        <v>0</v>
      </c>
    </row>
    <row r="12" spans="2:6" x14ac:dyDescent="0.3">
      <c r="B12" s="17" t="str">
        <f>'DADOS DO CONTRATO E CAPITALIZ'!B10</f>
        <v>tarifa de avaliação</v>
      </c>
      <c r="C12" s="76">
        <f>'DADOS DO CONTRATO E CAPITALIZ'!C10</f>
        <v>0</v>
      </c>
      <c r="E12" s="17" t="str">
        <f t="shared" si="0"/>
        <v>tarifa de avaliação</v>
      </c>
      <c r="F12" s="76">
        <f>'juros simples_BACEN'!D10</f>
        <v>0</v>
      </c>
    </row>
    <row r="13" spans="2:6" x14ac:dyDescent="0.3">
      <c r="B13" s="17" t="str">
        <f>'DADOS DO CONTRATO E CAPITALIZ'!B11</f>
        <v>seguro</v>
      </c>
      <c r="C13" s="76">
        <f>'DADOS DO CONTRATO E CAPITALIZ'!C11</f>
        <v>0</v>
      </c>
      <c r="E13" s="17" t="str">
        <f t="shared" si="0"/>
        <v>seguro</v>
      </c>
      <c r="F13" s="76">
        <f>'juros simples_BACEN'!D11</f>
        <v>0</v>
      </c>
    </row>
    <row r="14" spans="2:6" x14ac:dyDescent="0.3">
      <c r="B14" s="17" t="str">
        <f>'DADOS DO CONTRATO E CAPITALIZ'!B12</f>
        <v>registro no órgão de trânsito</v>
      </c>
      <c r="C14" s="76">
        <f>'DADOS DO CONTRATO E CAPITALIZ'!C12</f>
        <v>0</v>
      </c>
      <c r="E14" s="17" t="str">
        <f t="shared" si="0"/>
        <v>registro no órgão de trânsito</v>
      </c>
      <c r="F14" s="76">
        <f>'juros simples_BACEN'!D12</f>
        <v>0</v>
      </c>
    </row>
    <row r="15" spans="2:6" x14ac:dyDescent="0.3">
      <c r="B15" s="17" t="str">
        <f>'DADOS DO CONTRATO E CAPITALIZ'!B13</f>
        <v>Outros:</v>
      </c>
      <c r="C15" s="21">
        <f>'DADOS DO CONTRATO E CAPITALIZ'!C13</f>
        <v>0</v>
      </c>
      <c r="E15" s="17" t="str">
        <f t="shared" si="0"/>
        <v>Outros:</v>
      </c>
      <c r="F15" s="76">
        <f>'juros simples_BACEN'!D13</f>
        <v>0</v>
      </c>
    </row>
    <row r="17" spans="2:8" x14ac:dyDescent="0.3">
      <c r="B17" s="3" t="s">
        <v>16</v>
      </c>
      <c r="C17" s="6">
        <f>SUM(C9:C15)</f>
        <v>8142.61</v>
      </c>
      <c r="E17" s="3" t="s">
        <v>16</v>
      </c>
      <c r="F17" s="6">
        <f>SUM(F9:F15)</f>
        <v>8142.61</v>
      </c>
    </row>
    <row r="18" spans="2:8" x14ac:dyDescent="0.3">
      <c r="H18"/>
    </row>
    <row r="19" spans="2:8" x14ac:dyDescent="0.3">
      <c r="B19" s="15" t="s">
        <v>17</v>
      </c>
      <c r="C19" s="16">
        <f>'DADOS DO CONTRATO E CAPITALIZ'!C17</f>
        <v>2428.9</v>
      </c>
      <c r="E19" s="15" t="s">
        <v>17</v>
      </c>
      <c r="F19" s="133">
        <f>'juros simples_BACEN'!K10</f>
        <v>1213.0607997617731</v>
      </c>
      <c r="H19"/>
    </row>
    <row r="20" spans="2:8" x14ac:dyDescent="0.3">
      <c r="B20" s="17" t="s">
        <v>18</v>
      </c>
      <c r="C20" s="108">
        <f>'DADOS DO CONTRATO E CAPITALIZ'!C18</f>
        <v>8</v>
      </c>
      <c r="E20" s="17" t="s">
        <v>18</v>
      </c>
      <c r="F20" s="108">
        <f>C20</f>
        <v>8</v>
      </c>
      <c r="H20"/>
    </row>
    <row r="21" spans="2:8" x14ac:dyDescent="0.3">
      <c r="B21" s="109" t="s">
        <v>19</v>
      </c>
      <c r="C21" s="110">
        <f>'DADOS DO CONTRATO E CAPITALIZ'!C19</f>
        <v>19431.2</v>
      </c>
      <c r="E21" s="111" t="s">
        <v>19</v>
      </c>
      <c r="F21" s="118">
        <f>F20*F19</f>
        <v>9704.4863980941846</v>
      </c>
      <c r="H21"/>
    </row>
    <row r="22" spans="2:8" x14ac:dyDescent="0.3">
      <c r="B22" s="1"/>
      <c r="C22" s="5"/>
      <c r="E22" s="1"/>
      <c r="F22" s="5"/>
      <c r="H22"/>
    </row>
    <row r="23" spans="2:8" x14ac:dyDescent="0.3">
      <c r="B23" s="15" t="s">
        <v>20</v>
      </c>
      <c r="C23" s="25">
        <f>'DADOS DO CONTRATO E CAPITALIZ'!C21</f>
        <v>0.25801600000000002</v>
      </c>
      <c r="E23" s="15" t="s">
        <v>60</v>
      </c>
      <c r="F23" s="25">
        <f>'juros simples_BACEN'!H11</f>
        <v>5.0099999999999999E-2</v>
      </c>
      <c r="H23"/>
    </row>
    <row r="24" spans="2:8" x14ac:dyDescent="0.3">
      <c r="B24" s="18" t="s">
        <v>21</v>
      </c>
      <c r="C24" s="25">
        <f>'DADOS DO CONTRATO E CAPITALIZ'!C22</f>
        <v>0</v>
      </c>
      <c r="E24" s="18" t="s">
        <v>61</v>
      </c>
      <c r="F24" s="25">
        <f>'juros simples_BACEN'!H12</f>
        <v>0.79790980866368799</v>
      </c>
      <c r="H24"/>
    </row>
    <row r="25" spans="2:8" x14ac:dyDescent="0.3">
      <c r="B25" s="1"/>
      <c r="C25" s="26"/>
      <c r="E25" s="1"/>
      <c r="F25"/>
      <c r="H25"/>
    </row>
    <row r="26" spans="2:8" ht="14.4" customHeight="1" x14ac:dyDescent="0.3">
      <c r="B26" s="15" t="s">
        <v>22</v>
      </c>
      <c r="C26" s="26">
        <f>'DADOS DO CONTRATO E CAPITALIZ'!C24</f>
        <v>0.264152</v>
      </c>
      <c r="E26" s="176" t="s">
        <v>62</v>
      </c>
      <c r="F26" s="177">
        <f>diferenças!H12</f>
        <v>4.2724950099800401</v>
      </c>
      <c r="H26"/>
    </row>
    <row r="27" spans="2:8" x14ac:dyDescent="0.3">
      <c r="B27" s="18" t="s">
        <v>23</v>
      </c>
      <c r="C27" s="26">
        <f>'DADOS DO CONTRATO E CAPITALIZ'!C25</f>
        <v>15.656799307973891</v>
      </c>
      <c r="E27" s="176"/>
      <c r="F27" s="177"/>
      <c r="H27"/>
    </row>
    <row r="28" spans="2:8" x14ac:dyDescent="0.3">
      <c r="B28" s="1"/>
      <c r="C28" s="7"/>
      <c r="E28" s="176"/>
      <c r="F28" s="177"/>
      <c r="H28"/>
    </row>
    <row r="29" spans="2:8" x14ac:dyDescent="0.3">
      <c r="B29" s="27" t="s">
        <v>24</v>
      </c>
      <c r="C29" s="28" t="str">
        <f>'DADOS DO CONTRATO E CAPITALIZ'!C27</f>
        <v>mensal</v>
      </c>
      <c r="E29" s="27" t="s">
        <v>76</v>
      </c>
      <c r="F29" s="28" t="s">
        <v>77</v>
      </c>
      <c r="H29"/>
    </row>
    <row r="31" spans="2:8" x14ac:dyDescent="0.3">
      <c r="B31" s="29" t="s">
        <v>26</v>
      </c>
      <c r="C31" s="30">
        <f>C21-C9</f>
        <v>11431.2</v>
      </c>
      <c r="E31" s="114" t="s">
        <v>26</v>
      </c>
      <c r="F31" s="115">
        <f>F21-F17</f>
        <v>1561.8763980941849</v>
      </c>
    </row>
    <row r="32" spans="2:8" x14ac:dyDescent="0.3">
      <c r="E32" s="116" t="s">
        <v>63</v>
      </c>
      <c r="F32" s="117">
        <f>C21-F21</f>
        <v>9726.7136019058162</v>
      </c>
    </row>
    <row r="33" spans="7:8" x14ac:dyDescent="0.3">
      <c r="H33"/>
    </row>
    <row r="34" spans="7:8" x14ac:dyDescent="0.3">
      <c r="G34" s="1"/>
    </row>
    <row r="35" spans="7:8" x14ac:dyDescent="0.3">
      <c r="G35" s="9"/>
    </row>
  </sheetData>
  <mergeCells count="6">
    <mergeCell ref="B1:F1"/>
    <mergeCell ref="C3:F3"/>
    <mergeCell ref="B8:C8"/>
    <mergeCell ref="E8:F8"/>
    <mergeCell ref="E26:E28"/>
    <mergeCell ref="F26:F2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DADOS DO CONTRATO E CAPITALIZ</vt:lpstr>
      <vt:lpstr>tabela price_FINANCEIRA</vt:lpstr>
      <vt:lpstr>juros simples_BACEN</vt:lpstr>
      <vt:lpstr>diferenças</vt:lpstr>
      <vt:lpstr>RESUMO FINAL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Homero Lupo Medeiros</dc:creator>
  <cp:keywords/>
  <dc:description/>
  <cp:lastModifiedBy>Homero Medeiros</cp:lastModifiedBy>
  <cp:revision/>
  <dcterms:created xsi:type="dcterms:W3CDTF">2020-12-09T17:13:03Z</dcterms:created>
  <dcterms:modified xsi:type="dcterms:W3CDTF">2022-04-12T02:34:21Z</dcterms:modified>
  <cp:category/>
  <cp:contentStatus/>
</cp:coreProperties>
</file>