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igo\OneDrive\Área de Trabalho\AULA RMC - DR HOMERO\"/>
    </mc:Choice>
  </mc:AlternateContent>
  <xr:revisionPtr revIDLastSave="0" documentId="13_ncr:1_{FD618E7F-7CED-44C8-90D2-039AB1B5506F}" xr6:coauthVersionLast="47" xr6:coauthVersionMax="47" xr10:uidLastSave="{00000000-0000-0000-0000-000000000000}"/>
  <bookViews>
    <workbookView xWindow="-120" yWindow="-120" windowWidth="20730" windowHeight="11040" activeTab="2" xr2:uid="{724B285A-2D65-4C9D-8F95-38F1E50EEB75}"/>
  </bookViews>
  <sheets>
    <sheet name="AULA RMC" sheetId="16" r:id="rId1"/>
    <sheet name="DADOS EXTRAÍDOS" sheetId="14" r:id="rId2"/>
    <sheet name="AP01" sheetId="1" r:id="rId3"/>
    <sheet name="AP01 EVO" sheetId="22" r:id="rId4"/>
    <sheet name="AP01 EVO dobro" sheetId="24" r:id="rId5"/>
    <sheet name="tx média" sheetId="23" r:id="rId6"/>
  </sheets>
  <definedNames>
    <definedName name="_xlnm.Print_Area" localSheetId="2">'AP01'!$B$1:$M$53</definedName>
    <definedName name="_xlnm.Print_Area" localSheetId="3">'AP01 EVO'!$B$1:$M$53</definedName>
    <definedName name="_xlnm.Print_Area" localSheetId="4">'AP01 EVO dobro'!$B$1:$M$53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6" l="1"/>
  <c r="H18" i="16"/>
  <c r="H15" i="16"/>
  <c r="H14" i="16"/>
  <c r="H56" i="1"/>
  <c r="U53" i="24"/>
  <c r="S53" i="24"/>
  <c r="R53" i="24"/>
  <c r="M53" i="24"/>
  <c r="L53" i="24"/>
  <c r="K53" i="24"/>
  <c r="J53" i="24"/>
  <c r="Q53" i="24" s="1"/>
  <c r="I53" i="24"/>
  <c r="F53" i="24"/>
  <c r="D53" i="24"/>
  <c r="U52" i="24"/>
  <c r="S52" i="24"/>
  <c r="M52" i="24"/>
  <c r="L52" i="24"/>
  <c r="K52" i="24"/>
  <c r="R52" i="24" s="1"/>
  <c r="J52" i="24"/>
  <c r="Q52" i="24" s="1"/>
  <c r="I52" i="24"/>
  <c r="F52" i="24"/>
  <c r="D52" i="24"/>
  <c r="U51" i="24"/>
  <c r="S51" i="24"/>
  <c r="M51" i="24"/>
  <c r="L51" i="24"/>
  <c r="K51" i="24"/>
  <c r="J51" i="24"/>
  <c r="Q51" i="24" s="1"/>
  <c r="R51" i="24" s="1"/>
  <c r="I51" i="24"/>
  <c r="F51" i="24"/>
  <c r="D51" i="24"/>
  <c r="U50" i="24"/>
  <c r="S50" i="24"/>
  <c r="Q50" i="24"/>
  <c r="R50" i="24" s="1"/>
  <c r="M50" i="24"/>
  <c r="L50" i="24"/>
  <c r="K50" i="24"/>
  <c r="J50" i="24"/>
  <c r="I50" i="24"/>
  <c r="F50" i="24"/>
  <c r="D50" i="24"/>
  <c r="U49" i="24"/>
  <c r="S49" i="24"/>
  <c r="M49" i="24"/>
  <c r="L49" i="24"/>
  <c r="K49" i="24"/>
  <c r="J49" i="24"/>
  <c r="Q49" i="24" s="1"/>
  <c r="R49" i="24" s="1"/>
  <c r="I49" i="24"/>
  <c r="F49" i="24"/>
  <c r="D49" i="24"/>
  <c r="U48" i="24"/>
  <c r="S48" i="24"/>
  <c r="Q48" i="24"/>
  <c r="M48" i="24"/>
  <c r="L48" i="24"/>
  <c r="K48" i="24"/>
  <c r="R48" i="24" s="1"/>
  <c r="J48" i="24"/>
  <c r="I48" i="24"/>
  <c r="F48" i="24"/>
  <c r="D48" i="24"/>
  <c r="U47" i="24"/>
  <c r="S47" i="24"/>
  <c r="Q47" i="24"/>
  <c r="R47" i="24" s="1"/>
  <c r="M47" i="24"/>
  <c r="L47" i="24"/>
  <c r="K47" i="24"/>
  <c r="J47" i="24"/>
  <c r="I47" i="24"/>
  <c r="F47" i="24"/>
  <c r="D47" i="24"/>
  <c r="U46" i="24"/>
  <c r="S46" i="24"/>
  <c r="Q46" i="24"/>
  <c r="M46" i="24"/>
  <c r="L46" i="24"/>
  <c r="K46" i="24"/>
  <c r="R46" i="24" s="1"/>
  <c r="J46" i="24"/>
  <c r="I46" i="24"/>
  <c r="F46" i="24"/>
  <c r="D46" i="24"/>
  <c r="U45" i="24"/>
  <c r="S45" i="24"/>
  <c r="M45" i="24"/>
  <c r="L45" i="24"/>
  <c r="K45" i="24"/>
  <c r="J45" i="24"/>
  <c r="Q45" i="24" s="1"/>
  <c r="R45" i="24" s="1"/>
  <c r="I45" i="24"/>
  <c r="F45" i="24"/>
  <c r="D45" i="24"/>
  <c r="U44" i="24"/>
  <c r="S44" i="24"/>
  <c r="Q44" i="24"/>
  <c r="M44" i="24"/>
  <c r="L44" i="24"/>
  <c r="K44" i="24"/>
  <c r="R44" i="24" s="1"/>
  <c r="J44" i="24"/>
  <c r="I44" i="24"/>
  <c r="F44" i="24"/>
  <c r="D44" i="24"/>
  <c r="U43" i="24"/>
  <c r="S43" i="24"/>
  <c r="M43" i="24"/>
  <c r="L43" i="24"/>
  <c r="K43" i="24"/>
  <c r="J43" i="24"/>
  <c r="Q43" i="24" s="1"/>
  <c r="R43" i="24" s="1"/>
  <c r="I43" i="24"/>
  <c r="F43" i="24"/>
  <c r="D43" i="24"/>
  <c r="U42" i="24"/>
  <c r="S42" i="24"/>
  <c r="Q42" i="24"/>
  <c r="R42" i="24" s="1"/>
  <c r="M42" i="24"/>
  <c r="L42" i="24"/>
  <c r="K42" i="24"/>
  <c r="J42" i="24"/>
  <c r="I42" i="24"/>
  <c r="F42" i="24"/>
  <c r="D42" i="24"/>
  <c r="U41" i="24"/>
  <c r="S41" i="24"/>
  <c r="M41" i="24"/>
  <c r="L41" i="24"/>
  <c r="K41" i="24"/>
  <c r="J41" i="24"/>
  <c r="Q41" i="24" s="1"/>
  <c r="R41" i="24" s="1"/>
  <c r="I41" i="24"/>
  <c r="F41" i="24"/>
  <c r="D41" i="24"/>
  <c r="U40" i="24"/>
  <c r="S40" i="24"/>
  <c r="Q40" i="24"/>
  <c r="M40" i="24"/>
  <c r="L40" i="24"/>
  <c r="K40" i="24"/>
  <c r="R40" i="24" s="1"/>
  <c r="J40" i="24"/>
  <c r="I40" i="24"/>
  <c r="F40" i="24"/>
  <c r="D40" i="24"/>
  <c r="U39" i="24"/>
  <c r="S39" i="24"/>
  <c r="Q39" i="24"/>
  <c r="R39" i="24" s="1"/>
  <c r="M39" i="24"/>
  <c r="L39" i="24"/>
  <c r="K39" i="24"/>
  <c r="J39" i="24"/>
  <c r="I39" i="24"/>
  <c r="F39" i="24"/>
  <c r="D39" i="24"/>
  <c r="U38" i="24"/>
  <c r="S38" i="24"/>
  <c r="Q38" i="24"/>
  <c r="M38" i="24"/>
  <c r="L38" i="24"/>
  <c r="K38" i="24"/>
  <c r="R38" i="24" s="1"/>
  <c r="J38" i="24"/>
  <c r="I38" i="24"/>
  <c r="F38" i="24"/>
  <c r="D38" i="24"/>
  <c r="U37" i="24"/>
  <c r="S37" i="24"/>
  <c r="M37" i="24"/>
  <c r="L37" i="24"/>
  <c r="K37" i="24"/>
  <c r="J37" i="24"/>
  <c r="Q37" i="24" s="1"/>
  <c r="R37" i="24" s="1"/>
  <c r="I37" i="24"/>
  <c r="F37" i="24"/>
  <c r="D37" i="24"/>
  <c r="U36" i="24"/>
  <c r="S36" i="24"/>
  <c r="Q36" i="24"/>
  <c r="M36" i="24"/>
  <c r="L36" i="24"/>
  <c r="K36" i="24"/>
  <c r="R36" i="24" s="1"/>
  <c r="J36" i="24"/>
  <c r="I36" i="24"/>
  <c r="F36" i="24"/>
  <c r="D36" i="24"/>
  <c r="U35" i="24"/>
  <c r="S35" i="24"/>
  <c r="M35" i="24"/>
  <c r="L35" i="24"/>
  <c r="K35" i="24"/>
  <c r="J35" i="24"/>
  <c r="Q35" i="24" s="1"/>
  <c r="R35" i="24" s="1"/>
  <c r="I35" i="24"/>
  <c r="F35" i="24"/>
  <c r="D35" i="24"/>
  <c r="U34" i="24"/>
  <c r="S34" i="24"/>
  <c r="Q34" i="24"/>
  <c r="R34" i="24" s="1"/>
  <c r="M34" i="24"/>
  <c r="L34" i="24"/>
  <c r="K34" i="24"/>
  <c r="J34" i="24"/>
  <c r="I34" i="24"/>
  <c r="F34" i="24"/>
  <c r="D34" i="24"/>
  <c r="U33" i="24"/>
  <c r="S33" i="24"/>
  <c r="M33" i="24"/>
  <c r="L33" i="24"/>
  <c r="K33" i="24"/>
  <c r="J33" i="24"/>
  <c r="Q33" i="24" s="1"/>
  <c r="R33" i="24" s="1"/>
  <c r="I33" i="24"/>
  <c r="F33" i="24"/>
  <c r="D33" i="24"/>
  <c r="U32" i="24"/>
  <c r="S32" i="24"/>
  <c r="Q32" i="24"/>
  <c r="M32" i="24"/>
  <c r="L32" i="24"/>
  <c r="K32" i="24"/>
  <c r="R32" i="24" s="1"/>
  <c r="J32" i="24"/>
  <c r="I32" i="24"/>
  <c r="F32" i="24"/>
  <c r="D32" i="24"/>
  <c r="U31" i="24"/>
  <c r="S31" i="24"/>
  <c r="Q31" i="24"/>
  <c r="R31" i="24" s="1"/>
  <c r="M31" i="24"/>
  <c r="L31" i="24"/>
  <c r="K31" i="24"/>
  <c r="J31" i="24"/>
  <c r="I31" i="24"/>
  <c r="F31" i="24"/>
  <c r="D31" i="24"/>
  <c r="U30" i="24"/>
  <c r="S30" i="24"/>
  <c r="Q30" i="24"/>
  <c r="M30" i="24"/>
  <c r="L30" i="24"/>
  <c r="K30" i="24"/>
  <c r="R30" i="24" s="1"/>
  <c r="J30" i="24"/>
  <c r="I30" i="24"/>
  <c r="F30" i="24"/>
  <c r="D30" i="24"/>
  <c r="U29" i="24"/>
  <c r="S29" i="24"/>
  <c r="M29" i="24"/>
  <c r="L29" i="24"/>
  <c r="K29" i="24"/>
  <c r="J29" i="24"/>
  <c r="Q29" i="24" s="1"/>
  <c r="R29" i="24" s="1"/>
  <c r="I29" i="24"/>
  <c r="F29" i="24"/>
  <c r="D29" i="24"/>
  <c r="U28" i="24"/>
  <c r="S28" i="24"/>
  <c r="Q28" i="24"/>
  <c r="M28" i="24"/>
  <c r="L28" i="24"/>
  <c r="K28" i="24"/>
  <c r="R28" i="24" s="1"/>
  <c r="J28" i="24"/>
  <c r="I28" i="24"/>
  <c r="F28" i="24"/>
  <c r="D28" i="24"/>
  <c r="U27" i="24"/>
  <c r="S27" i="24"/>
  <c r="R27" i="24"/>
  <c r="M27" i="24"/>
  <c r="L27" i="24"/>
  <c r="K27" i="24"/>
  <c r="J27" i="24"/>
  <c r="Q27" i="24" s="1"/>
  <c r="I27" i="24"/>
  <c r="F27" i="24"/>
  <c r="D27" i="24"/>
  <c r="U26" i="24"/>
  <c r="S26" i="24"/>
  <c r="Q26" i="24"/>
  <c r="R26" i="24" s="1"/>
  <c r="M26" i="24"/>
  <c r="L26" i="24"/>
  <c r="K26" i="24"/>
  <c r="J26" i="24"/>
  <c r="I26" i="24"/>
  <c r="F26" i="24"/>
  <c r="D26" i="24"/>
  <c r="U25" i="24"/>
  <c r="S25" i="24"/>
  <c r="M25" i="24"/>
  <c r="L25" i="24"/>
  <c r="K25" i="24"/>
  <c r="J25" i="24"/>
  <c r="Q25" i="24" s="1"/>
  <c r="R25" i="24" s="1"/>
  <c r="I25" i="24"/>
  <c r="F25" i="24"/>
  <c r="D25" i="24"/>
  <c r="U24" i="24"/>
  <c r="S24" i="24"/>
  <c r="Q24" i="24"/>
  <c r="M24" i="24"/>
  <c r="L24" i="24"/>
  <c r="K24" i="24"/>
  <c r="R24" i="24" s="1"/>
  <c r="J24" i="24"/>
  <c r="I24" i="24"/>
  <c r="F24" i="24"/>
  <c r="D24" i="24"/>
  <c r="U23" i="24"/>
  <c r="S23" i="24"/>
  <c r="Q23" i="24"/>
  <c r="R23" i="24" s="1"/>
  <c r="M23" i="24"/>
  <c r="L23" i="24"/>
  <c r="K23" i="24"/>
  <c r="J23" i="24"/>
  <c r="I23" i="24"/>
  <c r="F23" i="24"/>
  <c r="D23" i="24"/>
  <c r="U22" i="24"/>
  <c r="S22" i="24"/>
  <c r="Q22" i="24"/>
  <c r="M22" i="24"/>
  <c r="L22" i="24"/>
  <c r="K22" i="24"/>
  <c r="R22" i="24" s="1"/>
  <c r="J22" i="24"/>
  <c r="I22" i="24"/>
  <c r="F22" i="24"/>
  <c r="D22" i="24"/>
  <c r="U21" i="24"/>
  <c r="S21" i="24"/>
  <c r="M21" i="24"/>
  <c r="L21" i="24"/>
  <c r="K21" i="24"/>
  <c r="J21" i="24"/>
  <c r="Q21" i="24" s="1"/>
  <c r="R21" i="24" s="1"/>
  <c r="I21" i="24"/>
  <c r="F21" i="24"/>
  <c r="D21" i="24"/>
  <c r="U20" i="24"/>
  <c r="S20" i="24"/>
  <c r="Q20" i="24"/>
  <c r="M20" i="24"/>
  <c r="L20" i="24"/>
  <c r="K20" i="24"/>
  <c r="R20" i="24" s="1"/>
  <c r="J20" i="24"/>
  <c r="I20" i="24"/>
  <c r="F20" i="24"/>
  <c r="D20" i="24"/>
  <c r="U19" i="24"/>
  <c r="S19" i="24"/>
  <c r="R19" i="24"/>
  <c r="M19" i="24"/>
  <c r="L19" i="24"/>
  <c r="K19" i="24"/>
  <c r="J19" i="24"/>
  <c r="Q19" i="24" s="1"/>
  <c r="I19" i="24"/>
  <c r="F19" i="24"/>
  <c r="D19" i="24"/>
  <c r="U18" i="24"/>
  <c r="S18" i="24"/>
  <c r="Q18" i="24"/>
  <c r="R18" i="24" s="1"/>
  <c r="M18" i="24"/>
  <c r="L18" i="24"/>
  <c r="K18" i="24"/>
  <c r="J18" i="24"/>
  <c r="I18" i="24"/>
  <c r="F18" i="24"/>
  <c r="D18" i="24"/>
  <c r="U17" i="24"/>
  <c r="S17" i="24"/>
  <c r="M17" i="24"/>
  <c r="L17" i="24"/>
  <c r="K17" i="24"/>
  <c r="J17" i="24"/>
  <c r="Q17" i="24" s="1"/>
  <c r="R17" i="24" s="1"/>
  <c r="I17" i="24"/>
  <c r="F17" i="24"/>
  <c r="D17" i="24"/>
  <c r="U16" i="24"/>
  <c r="S16" i="24"/>
  <c r="Q16" i="24"/>
  <c r="M16" i="24"/>
  <c r="L16" i="24"/>
  <c r="K16" i="24"/>
  <c r="R16" i="24" s="1"/>
  <c r="J16" i="24"/>
  <c r="I16" i="24"/>
  <c r="F16" i="24"/>
  <c r="D16" i="24"/>
  <c r="B16" i="24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U15" i="24"/>
  <c r="S15" i="24"/>
  <c r="Q15" i="24"/>
  <c r="R15" i="24" s="1"/>
  <c r="M15" i="24"/>
  <c r="L15" i="24"/>
  <c r="K15" i="24"/>
  <c r="J15" i="24"/>
  <c r="I15" i="24"/>
  <c r="F15" i="24"/>
  <c r="D15" i="24"/>
  <c r="B15" i="24"/>
  <c r="U14" i="24"/>
  <c r="S14" i="24"/>
  <c r="Q14" i="24"/>
  <c r="M14" i="24"/>
  <c r="L14" i="24"/>
  <c r="K14" i="24"/>
  <c r="R14" i="24" s="1"/>
  <c r="J14" i="24"/>
  <c r="I14" i="24"/>
  <c r="G14" i="24"/>
  <c r="T14" i="24" s="1"/>
  <c r="F14" i="24"/>
  <c r="D14" i="24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39" i="22"/>
  <c r="U40" i="22"/>
  <c r="U41" i="22"/>
  <c r="U42" i="22"/>
  <c r="U43" i="22"/>
  <c r="U44" i="22"/>
  <c r="U45" i="22"/>
  <c r="U46" i="22"/>
  <c r="U47" i="22"/>
  <c r="U48" i="22"/>
  <c r="U49" i="22"/>
  <c r="U50" i="22"/>
  <c r="U51" i="22"/>
  <c r="U52" i="22"/>
  <c r="U53" i="22"/>
  <c r="U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45" i="22"/>
  <c r="S46" i="22"/>
  <c r="S47" i="22"/>
  <c r="S48" i="22"/>
  <c r="S49" i="22"/>
  <c r="S50" i="22"/>
  <c r="S51" i="22"/>
  <c r="S52" i="22"/>
  <c r="S53" i="22"/>
  <c r="S14" i="22"/>
  <c r="G14" i="22"/>
  <c r="T14" i="22" s="1"/>
  <c r="D13" i="16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Q15" i="22"/>
  <c r="D11" i="16"/>
  <c r="D10" i="16"/>
  <c r="D9" i="16"/>
  <c r="D7" i="16"/>
  <c r="F52" i="1"/>
  <c r="F51" i="1"/>
  <c r="F14" i="1"/>
  <c r="H14" i="1" s="1"/>
  <c r="L23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14" i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J14" i="1"/>
  <c r="M14" i="1" s="1"/>
  <c r="K43" i="14"/>
  <c r="K41" i="14"/>
  <c r="I42" i="14"/>
  <c r="K42" i="14" s="1"/>
  <c r="I5" i="14"/>
  <c r="I6" i="14" s="1"/>
  <c r="L4" i="14"/>
  <c r="K4" i="14"/>
  <c r="J5" i="14"/>
  <c r="J6" i="14" s="1"/>
  <c r="J7" i="14" s="1"/>
  <c r="J8" i="14" s="1"/>
  <c r="J9" i="14" s="1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3" i="14" s="1"/>
  <c r="J34" i="14" s="1"/>
  <c r="J35" i="14" s="1"/>
  <c r="J36" i="14" s="1"/>
  <c r="J37" i="14" s="1"/>
  <c r="J38" i="14" s="1"/>
  <c r="J39" i="14" s="1"/>
  <c r="J40" i="14" s="1"/>
  <c r="J41" i="14" s="1"/>
  <c r="J42" i="14" s="1"/>
  <c r="J43" i="14" s="1"/>
  <c r="H4" i="14"/>
  <c r="C5" i="14" s="1"/>
  <c r="H5" i="14" s="1"/>
  <c r="B6" i="14"/>
  <c r="B7" i="14" s="1"/>
  <c r="B5" i="14"/>
  <c r="L5" i="14" s="1"/>
  <c r="H14" i="22" l="1"/>
  <c r="C15" i="22" s="1"/>
  <c r="V14" i="22"/>
  <c r="W14" i="22" s="1"/>
  <c r="V14" i="24"/>
  <c r="R15" i="22"/>
  <c r="Q14" i="22"/>
  <c r="R14" i="22" s="1"/>
  <c r="Q16" i="22"/>
  <c r="R16" i="22" s="1"/>
  <c r="C15" i="1"/>
  <c r="I7" i="14"/>
  <c r="K6" i="14"/>
  <c r="B8" i="14"/>
  <c r="L7" i="14"/>
  <c r="K5" i="14"/>
  <c r="C6" i="14" s="1"/>
  <c r="H6" i="14" s="1"/>
  <c r="C7" i="14" s="1"/>
  <c r="H7" i="14" s="1"/>
  <c r="L6" i="14"/>
  <c r="O14" i="22" l="1"/>
  <c r="N14" i="22" s="1"/>
  <c r="P14" i="22" s="1"/>
  <c r="T15" i="22" s="1"/>
  <c r="V15" i="22" s="1"/>
  <c r="W15" i="22" s="1"/>
  <c r="W14" i="24"/>
  <c r="C14" i="24"/>
  <c r="H14" i="24" s="1"/>
  <c r="O14" i="24" s="1"/>
  <c r="N14" i="24" s="1"/>
  <c r="P14" i="24" s="1"/>
  <c r="Q17" i="22"/>
  <c r="R17" i="22" s="1"/>
  <c r="H15" i="1"/>
  <c r="B9" i="14"/>
  <c r="L8" i="14"/>
  <c r="I8" i="14"/>
  <c r="K7" i="14"/>
  <c r="C8" i="14" s="1"/>
  <c r="H8" i="14" s="1"/>
  <c r="T15" i="24" l="1"/>
  <c r="V15" i="24" s="1"/>
  <c r="G15" i="24"/>
  <c r="G15" i="22"/>
  <c r="H15" i="22" s="1"/>
  <c r="O15" i="22" s="1"/>
  <c r="Q18" i="22"/>
  <c r="R18" i="22" s="1"/>
  <c r="I9" i="14"/>
  <c r="K8" i="14"/>
  <c r="C9" i="14" s="1"/>
  <c r="H9" i="14" s="1"/>
  <c r="B10" i="14"/>
  <c r="L9" i="14"/>
  <c r="C16" i="1"/>
  <c r="H16" i="1" s="1"/>
  <c r="W15" i="24" l="1"/>
  <c r="C15" i="24"/>
  <c r="H15" i="24" s="1"/>
  <c r="O15" i="24" s="1"/>
  <c r="C16" i="22"/>
  <c r="N15" i="22"/>
  <c r="P15" i="22" s="1"/>
  <c r="Q19" i="22"/>
  <c r="R19" i="22" s="1"/>
  <c r="B11" i="14"/>
  <c r="L10" i="14"/>
  <c r="I10" i="14"/>
  <c r="K9" i="14"/>
  <c r="C10" i="14" s="1"/>
  <c r="H10" i="14" s="1"/>
  <c r="J15" i="1"/>
  <c r="N15" i="24" l="1"/>
  <c r="P15" i="24" s="1"/>
  <c r="G16" i="22"/>
  <c r="H16" i="22" s="1"/>
  <c r="O16" i="22" s="1"/>
  <c r="N16" i="22" s="1"/>
  <c r="P16" i="22" s="1"/>
  <c r="T16" i="22"/>
  <c r="V16" i="22" s="1"/>
  <c r="W16" i="22" s="1"/>
  <c r="Q20" i="22"/>
  <c r="R20" i="22" s="1"/>
  <c r="I11" i="14"/>
  <c r="K10" i="14"/>
  <c r="C11" i="14" s="1"/>
  <c r="H11" i="14" s="1"/>
  <c r="B12" i="14"/>
  <c r="L11" i="14"/>
  <c r="M15" i="1"/>
  <c r="J16" i="1"/>
  <c r="G16" i="24" l="1"/>
  <c r="T16" i="24"/>
  <c r="V16" i="24" s="1"/>
  <c r="G17" i="22"/>
  <c r="T17" i="22"/>
  <c r="V17" i="22" s="1"/>
  <c r="W17" i="22" s="1"/>
  <c r="C17" i="22"/>
  <c r="Q21" i="22"/>
  <c r="R21" i="22" s="1"/>
  <c r="B13" i="14"/>
  <c r="L12" i="14"/>
  <c r="I12" i="14"/>
  <c r="K11" i="14"/>
  <c r="C12" i="14" s="1"/>
  <c r="H12" i="14" s="1"/>
  <c r="J17" i="1"/>
  <c r="M16" i="1"/>
  <c r="W16" i="24" l="1"/>
  <c r="C16" i="24"/>
  <c r="H16" i="24" s="1"/>
  <c r="O16" i="24" s="1"/>
  <c r="H17" i="22"/>
  <c r="C18" i="22" s="1"/>
  <c r="Q22" i="22"/>
  <c r="R22" i="22" s="1"/>
  <c r="I13" i="14"/>
  <c r="K12" i="14"/>
  <c r="C13" i="14" s="1"/>
  <c r="H13" i="14" s="1"/>
  <c r="B14" i="14"/>
  <c r="L13" i="14"/>
  <c r="M17" i="1"/>
  <c r="J18" i="1"/>
  <c r="N16" i="24" l="1"/>
  <c r="P16" i="24" s="1"/>
  <c r="O17" i="22"/>
  <c r="N17" i="22" s="1"/>
  <c r="P17" i="22" s="1"/>
  <c r="Q23" i="22"/>
  <c r="R23" i="22" s="1"/>
  <c r="B15" i="14"/>
  <c r="L14" i="14"/>
  <c r="I14" i="14"/>
  <c r="K13" i="14"/>
  <c r="C14" i="14" s="1"/>
  <c r="H14" i="14" s="1"/>
  <c r="J19" i="1"/>
  <c r="M18" i="1"/>
  <c r="G17" i="24" l="1"/>
  <c r="T17" i="24"/>
  <c r="V17" i="24" s="1"/>
  <c r="G18" i="22"/>
  <c r="H18" i="22" s="1"/>
  <c r="C19" i="22" s="1"/>
  <c r="T18" i="22"/>
  <c r="V18" i="22" s="1"/>
  <c r="W18" i="22" s="1"/>
  <c r="Q24" i="22"/>
  <c r="R24" i="22" s="1"/>
  <c r="B16" i="14"/>
  <c r="L15" i="14"/>
  <c r="I15" i="14"/>
  <c r="K14" i="14"/>
  <c r="C15" i="14" s="1"/>
  <c r="H15" i="14" s="1"/>
  <c r="J20" i="1"/>
  <c r="M19" i="1"/>
  <c r="W17" i="24" l="1"/>
  <c r="C17" i="24"/>
  <c r="H17" i="24" s="1"/>
  <c r="O18" i="22"/>
  <c r="N18" i="22" s="1"/>
  <c r="P18" i="22" s="1"/>
  <c r="Q25" i="22"/>
  <c r="R25" i="22" s="1"/>
  <c r="I16" i="14"/>
  <c r="K15" i="14"/>
  <c r="C16" i="14" s="1"/>
  <c r="H16" i="14" s="1"/>
  <c r="B17" i="14"/>
  <c r="L16" i="14"/>
  <c r="J21" i="1"/>
  <c r="M20" i="1"/>
  <c r="O17" i="24" l="1"/>
  <c r="N17" i="24" s="1"/>
  <c r="P17" i="24" s="1"/>
  <c r="G19" i="22"/>
  <c r="H19" i="22" s="1"/>
  <c r="C20" i="22" s="1"/>
  <c r="T19" i="22"/>
  <c r="V19" i="22" s="1"/>
  <c r="W19" i="22" s="1"/>
  <c r="Q26" i="22"/>
  <c r="R26" i="22" s="1"/>
  <c r="B18" i="14"/>
  <c r="L17" i="14"/>
  <c r="I17" i="14"/>
  <c r="K16" i="14"/>
  <c r="C17" i="14" s="1"/>
  <c r="H17" i="14" s="1"/>
  <c r="J22" i="1"/>
  <c r="M21" i="1"/>
  <c r="C17" i="1"/>
  <c r="H17" i="1" s="1"/>
  <c r="T18" i="24" l="1"/>
  <c r="V18" i="24" s="1"/>
  <c r="G18" i="24"/>
  <c r="O19" i="22"/>
  <c r="N19" i="22" s="1"/>
  <c r="P19" i="22" s="1"/>
  <c r="Q27" i="22"/>
  <c r="R27" i="22" s="1"/>
  <c r="C18" i="14"/>
  <c r="H18" i="14" s="1"/>
  <c r="I18" i="14"/>
  <c r="K17" i="14"/>
  <c r="B19" i="14"/>
  <c r="L18" i="14"/>
  <c r="M22" i="1"/>
  <c r="J23" i="1"/>
  <c r="W18" i="24" l="1"/>
  <c r="C18" i="24"/>
  <c r="H18" i="24" s="1"/>
  <c r="G20" i="22"/>
  <c r="H20" i="22" s="1"/>
  <c r="C21" i="22" s="1"/>
  <c r="T20" i="22"/>
  <c r="V20" i="22" s="1"/>
  <c r="W20" i="22" s="1"/>
  <c r="Q28" i="22"/>
  <c r="R28" i="22" s="1"/>
  <c r="B20" i="14"/>
  <c r="L19" i="14"/>
  <c r="I19" i="14"/>
  <c r="K18" i="14"/>
  <c r="C19" i="14"/>
  <c r="H19" i="14" s="1"/>
  <c r="J24" i="1"/>
  <c r="M23" i="1"/>
  <c r="O18" i="24" l="1"/>
  <c r="N18" i="24" s="1"/>
  <c r="P18" i="24" s="1"/>
  <c r="O20" i="22"/>
  <c r="N20" i="22" s="1"/>
  <c r="P20" i="22" s="1"/>
  <c r="G21" i="22" s="1"/>
  <c r="H21" i="22" s="1"/>
  <c r="O21" i="22" s="1"/>
  <c r="N21" i="22" s="1"/>
  <c r="P21" i="22" s="1"/>
  <c r="Q29" i="22"/>
  <c r="R29" i="22" s="1"/>
  <c r="I20" i="14"/>
  <c r="K19" i="14"/>
  <c r="C20" i="14" s="1"/>
  <c r="H20" i="14" s="1"/>
  <c r="B21" i="14"/>
  <c r="L20" i="14"/>
  <c r="M24" i="1"/>
  <c r="J25" i="1"/>
  <c r="G19" i="24" l="1"/>
  <c r="T19" i="24"/>
  <c r="V19" i="24" s="1"/>
  <c r="T21" i="22"/>
  <c r="V21" i="22" s="1"/>
  <c r="W21" i="22" s="1"/>
  <c r="G22" i="22"/>
  <c r="T22" i="22"/>
  <c r="V22" i="22" s="1"/>
  <c r="C22" i="22"/>
  <c r="Q30" i="22"/>
  <c r="R30" i="22" s="1"/>
  <c r="B22" i="14"/>
  <c r="L21" i="14"/>
  <c r="I21" i="14"/>
  <c r="K20" i="14"/>
  <c r="C21" i="14" s="1"/>
  <c r="H21" i="14" s="1"/>
  <c r="C18" i="1"/>
  <c r="H18" i="1" s="1"/>
  <c r="M25" i="1"/>
  <c r="J26" i="1"/>
  <c r="W19" i="24" l="1"/>
  <c r="C19" i="24"/>
  <c r="H19" i="24" s="1"/>
  <c r="O19" i="24" s="1"/>
  <c r="W22" i="22"/>
  <c r="H22" i="22"/>
  <c r="O22" i="22" s="1"/>
  <c r="N22" i="22" s="1"/>
  <c r="P22" i="22" s="1"/>
  <c r="Q31" i="22"/>
  <c r="R31" i="22" s="1"/>
  <c r="B23" i="14"/>
  <c r="L22" i="14"/>
  <c r="I22" i="14"/>
  <c r="K21" i="14"/>
  <c r="C22" i="14" s="1"/>
  <c r="H22" i="14" s="1"/>
  <c r="J27" i="1"/>
  <c r="M26" i="1"/>
  <c r="N19" i="24" l="1"/>
  <c r="P19" i="24" s="1"/>
  <c r="G23" i="22"/>
  <c r="T23" i="22"/>
  <c r="V23" i="22" s="1"/>
  <c r="W23" i="22" s="1"/>
  <c r="C23" i="22"/>
  <c r="Q32" i="22"/>
  <c r="R32" i="22" s="1"/>
  <c r="I23" i="14"/>
  <c r="K22" i="14"/>
  <c r="C23" i="14" s="1"/>
  <c r="H23" i="14" s="1"/>
  <c r="B24" i="14"/>
  <c r="L23" i="14"/>
  <c r="M27" i="1"/>
  <c r="J28" i="1"/>
  <c r="T20" i="24" l="1"/>
  <c r="V20" i="24" s="1"/>
  <c r="G20" i="24"/>
  <c r="H23" i="22"/>
  <c r="Q33" i="22"/>
  <c r="R33" i="22" s="1"/>
  <c r="B25" i="14"/>
  <c r="L24" i="14"/>
  <c r="I24" i="14"/>
  <c r="K23" i="14"/>
  <c r="C24" i="14" s="1"/>
  <c r="H24" i="14" s="1"/>
  <c r="C19" i="1"/>
  <c r="H19" i="1" s="1"/>
  <c r="J29" i="1"/>
  <c r="M28" i="1"/>
  <c r="W20" i="24" l="1"/>
  <c r="C20" i="24"/>
  <c r="H20" i="24" s="1"/>
  <c r="C24" i="22"/>
  <c r="O23" i="22"/>
  <c r="N23" i="22" s="1"/>
  <c r="P23" i="22" s="1"/>
  <c r="Q34" i="22"/>
  <c r="R34" i="22" s="1"/>
  <c r="I25" i="14"/>
  <c r="K24" i="14"/>
  <c r="C25" i="14" s="1"/>
  <c r="H25" i="14" s="1"/>
  <c r="B26" i="14"/>
  <c r="L25" i="14"/>
  <c r="J30" i="1"/>
  <c r="M29" i="1"/>
  <c r="O20" i="24" l="1"/>
  <c r="N20" i="24" s="1"/>
  <c r="P20" i="24" s="1"/>
  <c r="G24" i="22"/>
  <c r="H24" i="22" s="1"/>
  <c r="T24" i="22"/>
  <c r="V24" i="22" s="1"/>
  <c r="W24" i="22" s="1"/>
  <c r="Q35" i="22"/>
  <c r="R35" i="22" s="1"/>
  <c r="B27" i="14"/>
  <c r="L26" i="14"/>
  <c r="I26" i="14"/>
  <c r="K25" i="14"/>
  <c r="C26" i="14" s="1"/>
  <c r="H26" i="14" s="1"/>
  <c r="J31" i="1"/>
  <c r="M30" i="1"/>
  <c r="G21" i="24" l="1"/>
  <c r="T21" i="24"/>
  <c r="V21" i="24" s="1"/>
  <c r="O24" i="22"/>
  <c r="N24" i="22" s="1"/>
  <c r="P24" i="22" s="1"/>
  <c r="C25" i="22"/>
  <c r="Q36" i="22"/>
  <c r="R36" i="22" s="1"/>
  <c r="I27" i="14"/>
  <c r="K26" i="14"/>
  <c r="C27" i="14" s="1"/>
  <c r="H27" i="14" s="1"/>
  <c r="B28" i="14"/>
  <c r="L27" i="14"/>
  <c r="J32" i="1"/>
  <c r="M31" i="1"/>
  <c r="W21" i="24" l="1"/>
  <c r="C21" i="24"/>
  <c r="H21" i="24"/>
  <c r="O21" i="24" s="1"/>
  <c r="G25" i="22"/>
  <c r="H25" i="22" s="1"/>
  <c r="T25" i="22"/>
  <c r="V25" i="22" s="1"/>
  <c r="W25" i="22" s="1"/>
  <c r="Q37" i="22"/>
  <c r="R37" i="22" s="1"/>
  <c r="B29" i="14"/>
  <c r="L28" i="14"/>
  <c r="I28" i="14"/>
  <c r="K27" i="14"/>
  <c r="C28" i="14" s="1"/>
  <c r="H28" i="14" s="1"/>
  <c r="C20" i="1"/>
  <c r="H20" i="1" s="1"/>
  <c r="J33" i="1"/>
  <c r="M32" i="1"/>
  <c r="N21" i="24" l="1"/>
  <c r="P21" i="24" s="1"/>
  <c r="C26" i="22"/>
  <c r="O25" i="22"/>
  <c r="N25" i="22" s="1"/>
  <c r="P25" i="22" s="1"/>
  <c r="Q38" i="22"/>
  <c r="R38" i="22" s="1"/>
  <c r="I29" i="14"/>
  <c r="K28" i="14"/>
  <c r="C29" i="14" s="1"/>
  <c r="H29" i="14" s="1"/>
  <c r="B30" i="14"/>
  <c r="L29" i="14"/>
  <c r="J34" i="1"/>
  <c r="M33" i="1"/>
  <c r="G22" i="24" l="1"/>
  <c r="T22" i="24"/>
  <c r="V22" i="24" s="1"/>
  <c r="G26" i="22"/>
  <c r="H26" i="22" s="1"/>
  <c r="T26" i="22"/>
  <c r="V26" i="22" s="1"/>
  <c r="W26" i="22" s="1"/>
  <c r="Q39" i="22"/>
  <c r="R39" i="22" s="1"/>
  <c r="B31" i="14"/>
  <c r="L30" i="14"/>
  <c r="I30" i="14"/>
  <c r="K29" i="14"/>
  <c r="C30" i="14" s="1"/>
  <c r="H30" i="14" s="1"/>
  <c r="M34" i="1"/>
  <c r="J35" i="1"/>
  <c r="W22" i="24" l="1"/>
  <c r="C22" i="24"/>
  <c r="H22" i="24" s="1"/>
  <c r="C27" i="22"/>
  <c r="O26" i="22"/>
  <c r="N26" i="22" s="1"/>
  <c r="P26" i="22" s="1"/>
  <c r="Q40" i="22"/>
  <c r="R40" i="22" s="1"/>
  <c r="I31" i="14"/>
  <c r="K30" i="14"/>
  <c r="C31" i="14" s="1"/>
  <c r="H31" i="14" s="1"/>
  <c r="B32" i="14"/>
  <c r="L31" i="14"/>
  <c r="M35" i="1"/>
  <c r="J36" i="1"/>
  <c r="O22" i="24" l="1"/>
  <c r="N22" i="24" s="1"/>
  <c r="P22" i="24" s="1"/>
  <c r="G27" i="22"/>
  <c r="H27" i="22" s="1"/>
  <c r="T27" i="22"/>
  <c r="V27" i="22" s="1"/>
  <c r="W27" i="22" s="1"/>
  <c r="Q41" i="22"/>
  <c r="R41" i="22" s="1"/>
  <c r="B33" i="14"/>
  <c r="L32" i="14"/>
  <c r="I32" i="14"/>
  <c r="K31" i="14"/>
  <c r="C32" i="14" s="1"/>
  <c r="H32" i="14" s="1"/>
  <c r="C21" i="1"/>
  <c r="H21" i="1" s="1"/>
  <c r="M36" i="1"/>
  <c r="J37" i="1"/>
  <c r="T23" i="24" l="1"/>
  <c r="V23" i="24" s="1"/>
  <c r="G23" i="24"/>
  <c r="O27" i="22"/>
  <c r="N27" i="22" s="1"/>
  <c r="P27" i="22" s="1"/>
  <c r="C28" i="22"/>
  <c r="Q42" i="22"/>
  <c r="R42" i="22" s="1"/>
  <c r="I33" i="14"/>
  <c r="K32" i="14"/>
  <c r="C33" i="14" s="1"/>
  <c r="H33" i="14" s="1"/>
  <c r="B34" i="14"/>
  <c r="L33" i="14"/>
  <c r="J38" i="1"/>
  <c r="M37" i="1"/>
  <c r="W23" i="24" l="1"/>
  <c r="C23" i="24"/>
  <c r="H23" i="24" s="1"/>
  <c r="G28" i="22"/>
  <c r="H28" i="22" s="1"/>
  <c r="T28" i="22"/>
  <c r="V28" i="22" s="1"/>
  <c r="W28" i="22" s="1"/>
  <c r="Q43" i="22"/>
  <c r="R43" i="22" s="1"/>
  <c r="B35" i="14"/>
  <c r="L34" i="14"/>
  <c r="I34" i="14"/>
  <c r="K33" i="14"/>
  <c r="C34" i="14" s="1"/>
  <c r="H34" i="14" s="1"/>
  <c r="M38" i="1"/>
  <c r="J39" i="1"/>
  <c r="O23" i="24" l="1"/>
  <c r="N23" i="24" s="1"/>
  <c r="P23" i="24" s="1"/>
  <c r="C29" i="22"/>
  <c r="O28" i="22"/>
  <c r="N28" i="22" s="1"/>
  <c r="P28" i="22" s="1"/>
  <c r="Q44" i="22"/>
  <c r="R44" i="22" s="1"/>
  <c r="I35" i="14"/>
  <c r="K34" i="14"/>
  <c r="C35" i="14" s="1"/>
  <c r="H35" i="14" s="1"/>
  <c r="B36" i="14"/>
  <c r="L35" i="14"/>
  <c r="M39" i="1"/>
  <c r="J40" i="1"/>
  <c r="G24" i="24" l="1"/>
  <c r="T24" i="24"/>
  <c r="V24" i="24" s="1"/>
  <c r="G29" i="22"/>
  <c r="H29" i="22" s="1"/>
  <c r="T29" i="22"/>
  <c r="V29" i="22" s="1"/>
  <c r="W29" i="22" s="1"/>
  <c r="Q45" i="22"/>
  <c r="R45" i="22" s="1"/>
  <c r="B37" i="14"/>
  <c r="L36" i="14"/>
  <c r="I36" i="14"/>
  <c r="K35" i="14"/>
  <c r="C36" i="14" s="1"/>
  <c r="H36" i="14" s="1"/>
  <c r="C22" i="1"/>
  <c r="H22" i="1" s="1"/>
  <c r="J41" i="1"/>
  <c r="M40" i="1"/>
  <c r="W24" i="24" l="1"/>
  <c r="C24" i="24"/>
  <c r="H24" i="24" s="1"/>
  <c r="O29" i="22"/>
  <c r="N29" i="22" s="1"/>
  <c r="P29" i="22" s="1"/>
  <c r="C30" i="22"/>
  <c r="Q46" i="22"/>
  <c r="R46" i="22" s="1"/>
  <c r="I37" i="14"/>
  <c r="K36" i="14"/>
  <c r="C37" i="14" s="1"/>
  <c r="H37" i="14" s="1"/>
  <c r="B38" i="14"/>
  <c r="L37" i="14"/>
  <c r="M41" i="1"/>
  <c r="J42" i="1"/>
  <c r="O24" i="24" l="1"/>
  <c r="N24" i="24" s="1"/>
  <c r="P24" i="24" s="1"/>
  <c r="G30" i="22"/>
  <c r="H30" i="22" s="1"/>
  <c r="T30" i="22"/>
  <c r="V30" i="22" s="1"/>
  <c r="W30" i="22" s="1"/>
  <c r="Q47" i="22"/>
  <c r="R47" i="22" s="1"/>
  <c r="B39" i="14"/>
  <c r="L38" i="14"/>
  <c r="I38" i="14"/>
  <c r="K37" i="14"/>
  <c r="C38" i="14" s="1"/>
  <c r="H38" i="14" s="1"/>
  <c r="J43" i="1"/>
  <c r="M42" i="1"/>
  <c r="G25" i="24" l="1"/>
  <c r="T25" i="24"/>
  <c r="V25" i="24" s="1"/>
  <c r="C31" i="22"/>
  <c r="O30" i="22"/>
  <c r="N30" i="22" s="1"/>
  <c r="P30" i="22" s="1"/>
  <c r="Q48" i="22"/>
  <c r="R48" i="22" s="1"/>
  <c r="J44" i="1"/>
  <c r="M43" i="1"/>
  <c r="C39" i="14"/>
  <c r="H39" i="14" s="1"/>
  <c r="I39" i="14"/>
  <c r="K38" i="14"/>
  <c r="B40" i="14"/>
  <c r="L39" i="14"/>
  <c r="C23" i="1"/>
  <c r="H23" i="1" s="1"/>
  <c r="W25" i="24" l="1"/>
  <c r="C25" i="24"/>
  <c r="H25" i="24" s="1"/>
  <c r="O25" i="24" s="1"/>
  <c r="G31" i="22"/>
  <c r="H31" i="22" s="1"/>
  <c r="T31" i="22"/>
  <c r="V31" i="22" s="1"/>
  <c r="W31" i="22" s="1"/>
  <c r="Q49" i="22"/>
  <c r="R49" i="22" s="1"/>
  <c r="J45" i="1"/>
  <c r="J46" i="1" s="1"/>
  <c r="M44" i="1"/>
  <c r="B41" i="14"/>
  <c r="L40" i="14"/>
  <c r="I40" i="14"/>
  <c r="K40" i="14" s="1"/>
  <c r="K39" i="14"/>
  <c r="C40" i="14"/>
  <c r="H40" i="14" s="1"/>
  <c r="C41" i="14" s="1"/>
  <c r="H41" i="14" s="1"/>
  <c r="C42" i="14" s="1"/>
  <c r="H42" i="14" s="1"/>
  <c r="C43" i="14" s="1"/>
  <c r="H43" i="14" s="1"/>
  <c r="H46" i="14" s="1"/>
  <c r="I47" i="14" s="1"/>
  <c r="H48" i="14" s="1"/>
  <c r="H49" i="14" s="1"/>
  <c r="N25" i="24" l="1"/>
  <c r="P25" i="24" s="1"/>
  <c r="O31" i="22"/>
  <c r="N31" i="22" s="1"/>
  <c r="P31" i="22" s="1"/>
  <c r="C32" i="22"/>
  <c r="Q50" i="22"/>
  <c r="R50" i="22" s="1"/>
  <c r="M45" i="1"/>
  <c r="L41" i="14"/>
  <c r="B42" i="14"/>
  <c r="M46" i="1"/>
  <c r="J47" i="1"/>
  <c r="T26" i="24" l="1"/>
  <c r="V26" i="24" s="1"/>
  <c r="G26" i="24"/>
  <c r="G32" i="22"/>
  <c r="H32" i="22" s="1"/>
  <c r="T32" i="22"/>
  <c r="V32" i="22" s="1"/>
  <c r="W32" i="22" s="1"/>
  <c r="Q51" i="22"/>
  <c r="R51" i="22" s="1"/>
  <c r="B43" i="14"/>
  <c r="L43" i="14" s="1"/>
  <c r="L42" i="14"/>
  <c r="C24" i="1"/>
  <c r="H24" i="1" s="1"/>
  <c r="M47" i="1"/>
  <c r="J48" i="1"/>
  <c r="W26" i="24" l="1"/>
  <c r="C26" i="24"/>
  <c r="H26" i="24" s="1"/>
  <c r="C33" i="22"/>
  <c r="O32" i="22"/>
  <c r="N32" i="22" s="1"/>
  <c r="P32" i="22" s="1"/>
  <c r="Q52" i="22"/>
  <c r="R52" i="22" s="1"/>
  <c r="M48" i="1"/>
  <c r="J49" i="1"/>
  <c r="O26" i="24" l="1"/>
  <c r="N26" i="24" s="1"/>
  <c r="P26" i="24" s="1"/>
  <c r="G33" i="22"/>
  <c r="H33" i="22" s="1"/>
  <c r="T33" i="22"/>
  <c r="V33" i="22" s="1"/>
  <c r="W33" i="22" s="1"/>
  <c r="M49" i="1"/>
  <c r="J50" i="1"/>
  <c r="G27" i="24" l="1"/>
  <c r="T27" i="24"/>
  <c r="V27" i="24" s="1"/>
  <c r="O33" i="22"/>
  <c r="N33" i="22" s="1"/>
  <c r="P33" i="22" s="1"/>
  <c r="C34" i="22"/>
  <c r="Q53" i="22"/>
  <c r="R53" i="22" s="1"/>
  <c r="M50" i="1"/>
  <c r="J51" i="1"/>
  <c r="W27" i="24" l="1"/>
  <c r="C27" i="24"/>
  <c r="H27" i="24" s="1"/>
  <c r="G34" i="22"/>
  <c r="H34" i="22" s="1"/>
  <c r="T34" i="22"/>
  <c r="V34" i="22" s="1"/>
  <c r="W34" i="22" s="1"/>
  <c r="M51" i="1"/>
  <c r="J52" i="1"/>
  <c r="O27" i="24" l="1"/>
  <c r="N27" i="24" s="1"/>
  <c r="P27" i="24" s="1"/>
  <c r="C35" i="22"/>
  <c r="O34" i="22"/>
  <c r="N34" i="22" s="1"/>
  <c r="P34" i="22" s="1"/>
  <c r="C25" i="1"/>
  <c r="H25" i="1" s="1"/>
  <c r="M52" i="1"/>
  <c r="J53" i="1"/>
  <c r="T28" i="24" l="1"/>
  <c r="V28" i="24" s="1"/>
  <c r="G28" i="24"/>
  <c r="G35" i="22"/>
  <c r="H35" i="22" s="1"/>
  <c r="T35" i="22"/>
  <c r="V35" i="22" s="1"/>
  <c r="W35" i="22" s="1"/>
  <c r="M53" i="1"/>
  <c r="W28" i="24" l="1"/>
  <c r="C28" i="24"/>
  <c r="H28" i="24" s="1"/>
  <c r="O35" i="22"/>
  <c r="N35" i="22" s="1"/>
  <c r="P35" i="22" s="1"/>
  <c r="C36" i="22"/>
  <c r="O28" i="24" l="1"/>
  <c r="N28" i="24" s="1"/>
  <c r="P28" i="24" s="1"/>
  <c r="G36" i="22"/>
  <c r="H36" i="22" s="1"/>
  <c r="T36" i="22"/>
  <c r="V36" i="22" s="1"/>
  <c r="W36" i="22" s="1"/>
  <c r="C26" i="1"/>
  <c r="H26" i="1" s="1"/>
  <c r="G29" i="24" l="1"/>
  <c r="T29" i="24"/>
  <c r="V29" i="24" s="1"/>
  <c r="O36" i="22"/>
  <c r="N36" i="22" s="1"/>
  <c r="P36" i="22" s="1"/>
  <c r="C37" i="22"/>
  <c r="W29" i="24" l="1"/>
  <c r="C29" i="24"/>
  <c r="H29" i="24" s="1"/>
  <c r="G37" i="22"/>
  <c r="H37" i="22" s="1"/>
  <c r="T37" i="22"/>
  <c r="V37" i="22" s="1"/>
  <c r="W37" i="22" s="1"/>
  <c r="O29" i="24" l="1"/>
  <c r="N29" i="24" s="1"/>
  <c r="P29" i="24" s="1"/>
  <c r="O37" i="22"/>
  <c r="N37" i="22" s="1"/>
  <c r="P37" i="22" s="1"/>
  <c r="C38" i="22"/>
  <c r="G30" i="24" l="1"/>
  <c r="T30" i="24"/>
  <c r="V30" i="24" s="1"/>
  <c r="G38" i="22"/>
  <c r="H38" i="22" s="1"/>
  <c r="T38" i="22"/>
  <c r="V38" i="22" s="1"/>
  <c r="W38" i="22" s="1"/>
  <c r="W30" i="24" l="1"/>
  <c r="C30" i="24"/>
  <c r="H30" i="24" s="1"/>
  <c r="C39" i="22"/>
  <c r="O38" i="22"/>
  <c r="N38" i="22" s="1"/>
  <c r="P38" i="22" s="1"/>
  <c r="C27" i="1"/>
  <c r="H27" i="1" s="1"/>
  <c r="O30" i="24" l="1"/>
  <c r="N30" i="24" s="1"/>
  <c r="P30" i="24" s="1"/>
  <c r="G39" i="22"/>
  <c r="H39" i="22" s="1"/>
  <c r="T39" i="22"/>
  <c r="V39" i="22" s="1"/>
  <c r="W39" i="22" s="1"/>
  <c r="T31" i="24" l="1"/>
  <c r="V31" i="24" s="1"/>
  <c r="G31" i="24"/>
  <c r="C40" i="22"/>
  <c r="O39" i="22"/>
  <c r="N39" i="22" s="1"/>
  <c r="P39" i="22" s="1"/>
  <c r="W31" i="24" l="1"/>
  <c r="C31" i="24"/>
  <c r="H31" i="24" s="1"/>
  <c r="G40" i="22"/>
  <c r="H40" i="22" s="1"/>
  <c r="T40" i="22"/>
  <c r="V40" i="22" s="1"/>
  <c r="W40" i="22" s="1"/>
  <c r="O31" i="24" l="1"/>
  <c r="N31" i="24" s="1"/>
  <c r="P31" i="24" s="1"/>
  <c r="C41" i="22"/>
  <c r="O40" i="22"/>
  <c r="N40" i="22" s="1"/>
  <c r="P40" i="22" s="1"/>
  <c r="C28" i="1"/>
  <c r="H28" i="1" s="1"/>
  <c r="G32" i="24" l="1"/>
  <c r="T32" i="24"/>
  <c r="V32" i="24" s="1"/>
  <c r="G41" i="22"/>
  <c r="H41" i="22" s="1"/>
  <c r="T41" i="22"/>
  <c r="V41" i="22" s="1"/>
  <c r="W41" i="22" s="1"/>
  <c r="W32" i="24" l="1"/>
  <c r="C32" i="24"/>
  <c r="H32" i="24" s="1"/>
  <c r="C42" i="22"/>
  <c r="O41" i="22"/>
  <c r="N41" i="22" s="1"/>
  <c r="P41" i="22" s="1"/>
  <c r="O32" i="24" l="1"/>
  <c r="N32" i="24" s="1"/>
  <c r="P32" i="24" s="1"/>
  <c r="G42" i="22"/>
  <c r="H42" i="22" s="1"/>
  <c r="T42" i="22"/>
  <c r="V42" i="22" s="1"/>
  <c r="W42" i="22" s="1"/>
  <c r="G33" i="24" l="1"/>
  <c r="T33" i="24"/>
  <c r="V33" i="24" s="1"/>
  <c r="C43" i="22"/>
  <c r="O42" i="22"/>
  <c r="N42" i="22" s="1"/>
  <c r="P42" i="22" s="1"/>
  <c r="C29" i="1"/>
  <c r="H29" i="1" s="1"/>
  <c r="W33" i="24" l="1"/>
  <c r="C33" i="24"/>
  <c r="H33" i="24" s="1"/>
  <c r="G43" i="22"/>
  <c r="H43" i="22" s="1"/>
  <c r="T43" i="22"/>
  <c r="V43" i="22" s="1"/>
  <c r="W43" i="22" s="1"/>
  <c r="O33" i="24" l="1"/>
  <c r="N33" i="24" s="1"/>
  <c r="P33" i="24" s="1"/>
  <c r="C44" i="22"/>
  <c r="O43" i="22"/>
  <c r="N43" i="22" s="1"/>
  <c r="P43" i="22" s="1"/>
  <c r="T34" i="24" l="1"/>
  <c r="V34" i="24" s="1"/>
  <c r="G34" i="24"/>
  <c r="G44" i="22"/>
  <c r="H44" i="22" s="1"/>
  <c r="T44" i="22"/>
  <c r="V44" i="22" s="1"/>
  <c r="W44" i="22" s="1"/>
  <c r="C30" i="1"/>
  <c r="W34" i="24" l="1"/>
  <c r="C34" i="24"/>
  <c r="H34" i="24" s="1"/>
  <c r="O44" i="22"/>
  <c r="N44" i="22" s="1"/>
  <c r="P44" i="22" s="1"/>
  <c r="C45" i="22"/>
  <c r="H30" i="1"/>
  <c r="O34" i="24" l="1"/>
  <c r="N34" i="24" s="1"/>
  <c r="P34" i="24" s="1"/>
  <c r="G45" i="22"/>
  <c r="H45" i="22" s="1"/>
  <c r="T45" i="22"/>
  <c r="V45" i="22" s="1"/>
  <c r="W45" i="22" s="1"/>
  <c r="G35" i="24" l="1"/>
  <c r="T35" i="24"/>
  <c r="V35" i="24" s="1"/>
  <c r="C46" i="22"/>
  <c r="O45" i="22"/>
  <c r="N45" i="22" s="1"/>
  <c r="P45" i="22" s="1"/>
  <c r="W35" i="24" l="1"/>
  <c r="C35" i="24"/>
  <c r="H35" i="24" s="1"/>
  <c r="G46" i="22"/>
  <c r="H46" i="22" s="1"/>
  <c r="T46" i="22"/>
  <c r="V46" i="22" s="1"/>
  <c r="W46" i="22" s="1"/>
  <c r="C31" i="1"/>
  <c r="H31" i="1" s="1"/>
  <c r="O35" i="24" l="1"/>
  <c r="N35" i="24" s="1"/>
  <c r="P35" i="24" s="1"/>
  <c r="O46" i="22"/>
  <c r="N46" i="22" s="1"/>
  <c r="P46" i="22" s="1"/>
  <c r="C47" i="22"/>
  <c r="T36" i="24" l="1"/>
  <c r="V36" i="24" s="1"/>
  <c r="G36" i="24"/>
  <c r="G47" i="22"/>
  <c r="H47" i="22" s="1"/>
  <c r="T47" i="22"/>
  <c r="V47" i="22" s="1"/>
  <c r="W47" i="22" s="1"/>
  <c r="W36" i="24" l="1"/>
  <c r="C36" i="24"/>
  <c r="H36" i="24" s="1"/>
  <c r="O47" i="22"/>
  <c r="N47" i="22" s="1"/>
  <c r="P47" i="22" s="1"/>
  <c r="C48" i="22"/>
  <c r="C32" i="1"/>
  <c r="H32" i="1" s="1"/>
  <c r="O36" i="24" l="1"/>
  <c r="N36" i="24" s="1"/>
  <c r="P36" i="24" s="1"/>
  <c r="G48" i="22"/>
  <c r="H48" i="22" s="1"/>
  <c r="T48" i="22"/>
  <c r="V48" i="22" s="1"/>
  <c r="W48" i="22" s="1"/>
  <c r="G37" i="24" l="1"/>
  <c r="T37" i="24"/>
  <c r="V37" i="24" s="1"/>
  <c r="O48" i="22"/>
  <c r="N48" i="22" s="1"/>
  <c r="P48" i="22" s="1"/>
  <c r="C49" i="22"/>
  <c r="W37" i="24" l="1"/>
  <c r="C37" i="24"/>
  <c r="H37" i="24" s="1"/>
  <c r="G49" i="22"/>
  <c r="H49" i="22" s="1"/>
  <c r="T49" i="22"/>
  <c r="V49" i="22" s="1"/>
  <c r="W49" i="22" s="1"/>
  <c r="C33" i="1"/>
  <c r="H33" i="1" s="1"/>
  <c r="O37" i="24" l="1"/>
  <c r="N37" i="24" s="1"/>
  <c r="P37" i="24" s="1"/>
  <c r="O49" i="22"/>
  <c r="N49" i="22" s="1"/>
  <c r="P49" i="22" s="1"/>
  <c r="C50" i="22"/>
  <c r="G38" i="24" l="1"/>
  <c r="T38" i="24"/>
  <c r="V38" i="24" s="1"/>
  <c r="G50" i="22"/>
  <c r="H50" i="22" s="1"/>
  <c r="T50" i="22"/>
  <c r="V50" i="22" s="1"/>
  <c r="W50" i="22" s="1"/>
  <c r="W38" i="24" l="1"/>
  <c r="C38" i="24"/>
  <c r="H38" i="24"/>
  <c r="C51" i="22"/>
  <c r="O50" i="22"/>
  <c r="N50" i="22" s="1"/>
  <c r="P50" i="22" s="1"/>
  <c r="C34" i="1"/>
  <c r="H34" i="1" s="1"/>
  <c r="O38" i="24" l="1"/>
  <c r="N38" i="24" s="1"/>
  <c r="P38" i="24" s="1"/>
  <c r="G51" i="22"/>
  <c r="H51" i="22" s="1"/>
  <c r="T51" i="22"/>
  <c r="V51" i="22" s="1"/>
  <c r="W51" i="22" s="1"/>
  <c r="T39" i="24" l="1"/>
  <c r="V39" i="24" s="1"/>
  <c r="G39" i="24"/>
  <c r="C52" i="22"/>
  <c r="O51" i="22"/>
  <c r="N51" i="22" s="1"/>
  <c r="P51" i="22" s="1"/>
  <c r="W39" i="24" l="1"/>
  <c r="C39" i="24"/>
  <c r="H39" i="24" s="1"/>
  <c r="G52" i="22"/>
  <c r="H52" i="22" s="1"/>
  <c r="T52" i="22"/>
  <c r="V52" i="22" s="1"/>
  <c r="W52" i="22" s="1"/>
  <c r="C35" i="1"/>
  <c r="H35" i="1" s="1"/>
  <c r="O39" i="24" l="1"/>
  <c r="N39" i="24" s="1"/>
  <c r="P39" i="24" s="1"/>
  <c r="C53" i="22"/>
  <c r="O52" i="22"/>
  <c r="N52" i="22" s="1"/>
  <c r="P52" i="22" s="1"/>
  <c r="T40" i="24" l="1"/>
  <c r="V40" i="24" s="1"/>
  <c r="G40" i="24"/>
  <c r="G53" i="22"/>
  <c r="T53" i="22"/>
  <c r="V53" i="22" s="1"/>
  <c r="W53" i="22" s="1"/>
  <c r="H53" i="22"/>
  <c r="O53" i="22" s="1"/>
  <c r="N53" i="22" s="1"/>
  <c r="P53" i="22" s="1"/>
  <c r="W40" i="24" l="1"/>
  <c r="C40" i="24"/>
  <c r="H40" i="24" s="1"/>
  <c r="C36" i="1"/>
  <c r="O40" i="24" l="1"/>
  <c r="N40" i="24" s="1"/>
  <c r="P40" i="24" s="1"/>
  <c r="H36" i="1"/>
  <c r="C37" i="1" s="1"/>
  <c r="H37" i="1" s="1"/>
  <c r="G41" i="24" l="1"/>
  <c r="T41" i="24"/>
  <c r="V41" i="24" s="1"/>
  <c r="C38" i="1"/>
  <c r="W41" i="24" l="1"/>
  <c r="C41" i="24"/>
  <c r="H41" i="24" s="1"/>
  <c r="O41" i="24" s="1"/>
  <c r="H38" i="1"/>
  <c r="C39" i="1" s="1"/>
  <c r="H39" i="1" s="1"/>
  <c r="N41" i="24" l="1"/>
  <c r="P41" i="24" s="1"/>
  <c r="C40" i="1"/>
  <c r="H40" i="1" s="1"/>
  <c r="T42" i="24" l="1"/>
  <c r="V42" i="24" s="1"/>
  <c r="G42" i="24"/>
  <c r="C41" i="1"/>
  <c r="H41" i="1" s="1"/>
  <c r="W42" i="24" l="1"/>
  <c r="C42" i="24"/>
  <c r="H42" i="24" s="1"/>
  <c r="C42" i="1"/>
  <c r="H42" i="1" s="1"/>
  <c r="O42" i="24" l="1"/>
  <c r="N42" i="24" s="1"/>
  <c r="P42" i="24" s="1"/>
  <c r="C43" i="1"/>
  <c r="H43" i="1" s="1"/>
  <c r="G43" i="24" l="1"/>
  <c r="T43" i="24"/>
  <c r="V43" i="24" s="1"/>
  <c r="C44" i="1"/>
  <c r="H44" i="1" s="1"/>
  <c r="W43" i="24" l="1"/>
  <c r="C43" i="24"/>
  <c r="H43" i="24" s="1"/>
  <c r="C45" i="1"/>
  <c r="H45" i="1" s="1"/>
  <c r="O43" i="24" l="1"/>
  <c r="N43" i="24"/>
  <c r="P43" i="24" s="1"/>
  <c r="C46" i="1"/>
  <c r="H46" i="1" s="1"/>
  <c r="T44" i="24" l="1"/>
  <c r="V44" i="24" s="1"/>
  <c r="G44" i="24"/>
  <c r="C47" i="1"/>
  <c r="H47" i="1" s="1"/>
  <c r="W44" i="24" l="1"/>
  <c r="C44" i="24"/>
  <c r="H44" i="24" s="1"/>
  <c r="C48" i="1"/>
  <c r="H48" i="1" s="1"/>
  <c r="O44" i="24" l="1"/>
  <c r="N44" i="24" s="1"/>
  <c r="P44" i="24" s="1"/>
  <c r="C49" i="1"/>
  <c r="H49" i="1" s="1"/>
  <c r="G45" i="24" l="1"/>
  <c r="T45" i="24"/>
  <c r="V45" i="24" s="1"/>
  <c r="C50" i="1"/>
  <c r="H50" i="1" s="1"/>
  <c r="W45" i="24" l="1"/>
  <c r="C45" i="24"/>
  <c r="H45" i="24" s="1"/>
  <c r="O45" i="24" s="1"/>
  <c r="C51" i="1"/>
  <c r="H51" i="1" s="1"/>
  <c r="N45" i="24" l="1"/>
  <c r="P45" i="24" s="1"/>
  <c r="C52" i="1"/>
  <c r="H52" i="1" s="1"/>
  <c r="G46" i="24" l="1"/>
  <c r="T46" i="24"/>
  <c r="V46" i="24" s="1"/>
  <c r="C53" i="1"/>
  <c r="H53" i="1" s="1"/>
  <c r="W46" i="24" l="1"/>
  <c r="C46" i="24"/>
  <c r="H46" i="24" s="1"/>
  <c r="O46" i="24" l="1"/>
  <c r="N46" i="24" s="1"/>
  <c r="P46" i="24" s="1"/>
  <c r="T47" i="24" l="1"/>
  <c r="V47" i="24" s="1"/>
  <c r="G47" i="24"/>
  <c r="W47" i="24" l="1"/>
  <c r="C47" i="24"/>
  <c r="H47" i="24" s="1"/>
  <c r="O47" i="24" l="1"/>
  <c r="N47" i="24" s="1"/>
  <c r="P47" i="24" s="1"/>
  <c r="G48" i="24" l="1"/>
  <c r="T48" i="24"/>
  <c r="V48" i="24" s="1"/>
  <c r="W48" i="24" l="1"/>
  <c r="C48" i="24"/>
  <c r="H48" i="24" s="1"/>
  <c r="O48" i="24" l="1"/>
  <c r="N48" i="24" s="1"/>
  <c r="P48" i="24" s="1"/>
  <c r="G49" i="24" l="1"/>
  <c r="T49" i="24"/>
  <c r="V49" i="24" s="1"/>
  <c r="W49" i="24" l="1"/>
  <c r="C49" i="24"/>
  <c r="H49" i="24" s="1"/>
  <c r="O49" i="24" l="1"/>
  <c r="N49" i="24" s="1"/>
  <c r="P49" i="24" s="1"/>
  <c r="T50" i="24" l="1"/>
  <c r="V50" i="24" s="1"/>
  <c r="G50" i="24"/>
  <c r="W50" i="24" l="1"/>
  <c r="C50" i="24"/>
  <c r="H50" i="24" s="1"/>
  <c r="O50" i="24" l="1"/>
  <c r="N50" i="24" s="1"/>
  <c r="P50" i="24" s="1"/>
  <c r="G51" i="24" l="1"/>
  <c r="T51" i="24"/>
  <c r="V51" i="24" s="1"/>
  <c r="W51" i="24" l="1"/>
  <c r="C51" i="24"/>
  <c r="H51" i="24" s="1"/>
  <c r="O51" i="24" l="1"/>
  <c r="N51" i="24" s="1"/>
  <c r="P51" i="24" s="1"/>
  <c r="T52" i="24" l="1"/>
  <c r="V52" i="24" s="1"/>
  <c r="G52" i="24"/>
  <c r="W52" i="24" l="1"/>
  <c r="C52" i="24"/>
  <c r="H52" i="24" s="1"/>
  <c r="O52" i="24" l="1"/>
  <c r="N52" i="24" s="1"/>
  <c r="P52" i="24" s="1"/>
  <c r="G53" i="24" l="1"/>
  <c r="T53" i="24"/>
  <c r="V53" i="24" s="1"/>
  <c r="W53" i="24" l="1"/>
  <c r="C53" i="24"/>
  <c r="H53" i="24" s="1"/>
  <c r="O53" i="24" s="1"/>
  <c r="N53" i="24" s="1"/>
  <c r="P53" i="24" s="1"/>
</calcChain>
</file>

<file path=xl/sharedStrings.xml><?xml version="1.0" encoding="utf-8"?>
<sst xmlns="http://schemas.openxmlformats.org/spreadsheetml/2006/main" count="171" uniqueCount="93">
  <si>
    <t>Encargos Cobrados</t>
  </si>
  <si>
    <t>Valor da Fatura</t>
  </si>
  <si>
    <t>Pagamento Mínimo</t>
  </si>
  <si>
    <t>Vencimento</t>
  </si>
  <si>
    <t>Valor Pago</t>
  </si>
  <si>
    <t>Data do Pagamento</t>
  </si>
  <si>
    <t>Dias de Mora</t>
  </si>
  <si>
    <t>IOF</t>
  </si>
  <si>
    <t>Houve Abusividade?</t>
  </si>
  <si>
    <t>Encargos Devidos</t>
  </si>
  <si>
    <t>DADOS DAS FATURAS</t>
  </si>
  <si>
    <t>Tx. de Juros Cobrada</t>
  </si>
  <si>
    <t>BCB-DSTAT</t>
  </si>
  <si>
    <t>Fonte</t>
  </si>
  <si>
    <t>Data</t>
  </si>
  <si>
    <t>Coluna1</t>
  </si>
  <si>
    <t>Coluna2</t>
  </si>
  <si>
    <t>Coluna3</t>
  </si>
  <si>
    <t>Coluna4</t>
  </si>
  <si>
    <t>Coluna5</t>
  </si>
  <si>
    <t>Coluna6</t>
  </si>
  <si>
    <t>Coluna7</t>
  </si>
  <si>
    <t>Coluna8</t>
  </si>
  <si>
    <t>Coluna9</t>
  </si>
  <si>
    <t>Coluna10</t>
  </si>
  <si>
    <t>Coluna11</t>
  </si>
  <si>
    <t>Coluna12</t>
  </si>
  <si>
    <t>Coluna13</t>
  </si>
  <si>
    <t>Coluna17</t>
  </si>
  <si>
    <t>Coluna18</t>
  </si>
  <si>
    <t>Coluna19</t>
  </si>
  <si>
    <t>TABELA DE DIFERENÇAS</t>
  </si>
  <si>
    <t>DADOS EXTRAÍDOS DAS FATURAS</t>
  </si>
  <si>
    <t>Saldo Anterior</t>
  </si>
  <si>
    <t>25468 - Taxa média mensal de juros das operações de crédito com recursos livres - Pessoas físicas - Crédito pessoal consignado para aposentados e pensionistas do INSS - % a.m.</t>
  </si>
  <si>
    <t>APÊNDICE 01 - EVOLUÇÃO DA DÍVIDA COBRADA PELO BANCO</t>
  </si>
  <si>
    <t>Coluna20</t>
  </si>
  <si>
    <t>Conta: XXXX.XXXX.XX38</t>
  </si>
  <si>
    <t>DATA VENC.</t>
  </si>
  <si>
    <t>SALDO ANTERIOR</t>
  </si>
  <si>
    <t>SAQUE/COMPRAS</t>
  </si>
  <si>
    <t>SEGURO PRESTAMISTA</t>
  </si>
  <si>
    <t>TARIFAS</t>
  </si>
  <si>
    <t>ENCARGOS COBRADOS</t>
  </si>
  <si>
    <t>VALOR DA FATURA</t>
  </si>
  <si>
    <t>PGTO MÍNIMO</t>
  </si>
  <si>
    <t>TX. JUROS</t>
  </si>
  <si>
    <t>VALOR PAGO</t>
  </si>
  <si>
    <t>DATA PAGTO.</t>
  </si>
  <si>
    <t>Data Ref.</t>
  </si>
  <si>
    <t>Seguros / Tarifas</t>
  </si>
  <si>
    <t>Saque / Compras</t>
  </si>
  <si>
    <t>Coluna32</t>
  </si>
  <si>
    <t>(1) Encargos Cobrados</t>
  </si>
  <si>
    <t>(2) Encargos Devidos</t>
  </si>
  <si>
    <t>Saldo Anterior Compensado</t>
  </si>
  <si>
    <t>Valor do Saque</t>
  </si>
  <si>
    <t>Seguro Prestamista</t>
  </si>
  <si>
    <t>Data do Saque</t>
  </si>
  <si>
    <t>Data Vencimento</t>
  </si>
  <si>
    <t>Taxa de Juros (a.m.)</t>
  </si>
  <si>
    <t>Juros Faturados</t>
  </si>
  <si>
    <t>1. Para calcular você utiliza a metodologia pro rata die (proporcional aos dias)</t>
  </si>
  <si>
    <t>2. Divide a taxa por 30 (mês comercial) e multiplica pela quantidade de dias de mora</t>
  </si>
  <si>
    <t>Para cálculo do IOF avalie o Decreto  6.306 onde aponta:</t>
  </si>
  <si>
    <t>Alíquota fixa:</t>
  </si>
  <si>
    <t>Alíquota diária (PF):</t>
  </si>
  <si>
    <t>Alíquota diária (PJ):</t>
  </si>
  <si>
    <t>IOF alíq. fixa</t>
  </si>
  <si>
    <t>IOF alíq. diária</t>
  </si>
  <si>
    <t>Requente: VÍTIMA DA SILVA</t>
  </si>
  <si>
    <t>Requerido: BANCO S/A</t>
  </si>
  <si>
    <t>Saldo Financiado</t>
  </si>
  <si>
    <t>Juros Devidos do Rotativo</t>
  </si>
  <si>
    <t>REVISÃO DOS ENCARGOS</t>
  </si>
  <si>
    <t>Tx. Aposentado INSS</t>
  </si>
  <si>
    <t>Coluna14</t>
  </si>
  <si>
    <t>Coluna15</t>
  </si>
  <si>
    <t>TAXA MÉDIA (Série 25468)</t>
  </si>
  <si>
    <t>Taxa MÉDIA</t>
  </si>
  <si>
    <t>Juros Devidos</t>
  </si>
  <si>
    <t>Coluna16</t>
  </si>
  <si>
    <t>(3) Tarifas + Seguros</t>
  </si>
  <si>
    <t>(4) Diferença Mensal [1-2+3]</t>
  </si>
  <si>
    <t>(5) Diferença Nominal Total [5+4]</t>
  </si>
  <si>
    <t>APÊNDICE 02 - EVOLUÇÃO DA DÍVIDA CONFORME DEVERIA TER ACONTECIDO (COMP. SIMPLES)</t>
  </si>
  <si>
    <t>APÊNDICE 03 - EVOLUÇÃO DA DÍVIDA CONFORME DEVERIA TER ACONTECIDO (COMP. EM DOBRO)</t>
  </si>
  <si>
    <t>Prazo (meses)</t>
  </si>
  <si>
    <t>Valor Amortizado</t>
  </si>
  <si>
    <t>X</t>
  </si>
  <si>
    <t>Fórmula: X*102,09 = 40*2.881,35</t>
  </si>
  <si>
    <t>X =</t>
  </si>
  <si>
    <t>Quantos anos?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</si>
</sst>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0.0000%"/>
    <numFmt numFmtId="165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theme="0"/>
      <name val="Cambria"/>
      <family val="1"/>
    </font>
    <font>
      <sz val="11"/>
      <color theme="1"/>
      <name val="Calibri"/>
      <family val="2"/>
      <scheme val="minor"/>
    </font>
    <font>
      <b/>
      <sz val="12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8"/>
      <name val="Calibri"/>
      <family val="2"/>
      <scheme val="minor"/>
    </font>
    <font>
      <b/>
      <sz val="12"/>
      <color rgb="FFFFFF00"/>
      <name val="Cambria"/>
      <family val="1"/>
    </font>
    <font>
      <sz val="11"/>
      <color rgb="FFFF0000"/>
      <name val="Cambria"/>
      <family val="1"/>
    </font>
    <font>
      <b/>
      <sz val="14"/>
      <name val="Cambria"/>
      <family val="1"/>
    </font>
    <font>
      <sz val="10"/>
      <name val="Arial"/>
      <family val="2"/>
    </font>
    <font>
      <b/>
      <sz val="11"/>
      <color theme="0"/>
      <name val="Cambria"/>
      <family val="1"/>
    </font>
    <font>
      <sz val="12"/>
      <color theme="0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0" fontId="3" fillId="0" borderId="0" xfId="0" applyFont="1" applyAlignment="1">
      <alignment horizontal="left" vertical="center"/>
    </xf>
    <xf numFmtId="43" fontId="1" fillId="0" borderId="0" xfId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14" fontId="8" fillId="0" borderId="10" xfId="0" applyNumberFormat="1" applyFont="1" applyFill="1" applyBorder="1" applyAlignment="1">
      <alignment horizontal="center" vertical="center"/>
    </xf>
    <xf numFmtId="14" fontId="8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14" fontId="1" fillId="0" borderId="0" xfId="0" applyNumberFormat="1" applyFont="1" applyAlignment="1">
      <alignment horizontal="center" vertical="center" wrapText="1"/>
    </xf>
    <xf numFmtId="14" fontId="1" fillId="6" borderId="12" xfId="0" applyNumberFormat="1" applyFont="1" applyFill="1" applyBorder="1" applyAlignment="1">
      <alignment horizontal="center" vertical="center" wrapText="1"/>
    </xf>
    <xf numFmtId="4" fontId="1" fillId="6" borderId="12" xfId="0" applyNumberFormat="1" applyFont="1" applyFill="1" applyBorder="1" applyAlignment="1">
      <alignment horizontal="center" vertical="center" wrapText="1"/>
    </xf>
    <xf numFmtId="10" fontId="1" fillId="6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0" fontId="1" fillId="0" borderId="12" xfId="0" applyNumberFormat="1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2" fontId="1" fillId="0" borderId="0" xfId="0" applyNumberFormat="1" applyFont="1"/>
    <xf numFmtId="10" fontId="1" fillId="0" borderId="0" xfId="2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0" fontId="1" fillId="0" borderId="0" xfId="2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2" fillId="0" borderId="0" xfId="0" applyFont="1"/>
    <xf numFmtId="4" fontId="2" fillId="2" borderId="1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" fontId="7" fillId="7" borderId="0" xfId="0" applyNumberFormat="1" applyFont="1" applyFill="1" applyBorder="1" applyAlignment="1">
      <alignment horizontal="center" vertical="center"/>
    </xf>
    <xf numFmtId="4" fontId="2" fillId="7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10" fontId="1" fillId="0" borderId="0" xfId="0" applyNumberFormat="1" applyFont="1"/>
    <xf numFmtId="164" fontId="1" fillId="0" borderId="0" xfId="0" applyNumberFormat="1" applyFont="1"/>
    <xf numFmtId="0" fontId="2" fillId="0" borderId="4" xfId="0" applyFont="1" applyBorder="1"/>
    <xf numFmtId="0" fontId="1" fillId="0" borderId="5" xfId="0" applyFont="1" applyBorder="1"/>
    <xf numFmtId="4" fontId="2" fillId="0" borderId="6" xfId="0" applyNumberFormat="1" applyFont="1" applyBorder="1" applyAlignment="1">
      <alignment horizontal="center"/>
    </xf>
    <xf numFmtId="0" fontId="2" fillId="0" borderId="10" xfId="0" applyFont="1" applyBorder="1"/>
    <xf numFmtId="0" fontId="1" fillId="0" borderId="0" xfId="0" applyFont="1" applyBorder="1"/>
    <xf numFmtId="4" fontId="2" fillId="0" borderId="11" xfId="0" applyNumberFormat="1" applyFont="1" applyBorder="1" applyAlignment="1">
      <alignment horizontal="center"/>
    </xf>
    <xf numFmtId="0" fontId="1" fillId="0" borderId="10" xfId="0" applyFont="1" applyBorder="1"/>
    <xf numFmtId="14" fontId="1" fillId="0" borderId="11" xfId="0" applyNumberFormat="1" applyFont="1" applyBorder="1"/>
    <xf numFmtId="0" fontId="1" fillId="0" borderId="11" xfId="0" applyFont="1" applyBorder="1" applyAlignment="1">
      <alignment horizontal="center"/>
    </xf>
    <xf numFmtId="9" fontId="1" fillId="0" borderId="1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4" fontId="2" fillId="0" borderId="9" xfId="0" applyNumberFormat="1" applyFont="1" applyBorder="1" applyAlignment="1">
      <alignment horizontal="center"/>
    </xf>
    <xf numFmtId="0" fontId="7" fillId="0" borderId="0" xfId="0" applyFont="1"/>
    <xf numFmtId="0" fontId="7" fillId="5" borderId="1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4" fontId="8" fillId="10" borderId="0" xfId="0" applyNumberFormat="1" applyFont="1" applyFill="1" applyBorder="1" applyAlignment="1">
      <alignment horizontal="center" vertical="center"/>
    </xf>
    <xf numFmtId="1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 wrapText="1"/>
    </xf>
    <xf numFmtId="0" fontId="2" fillId="0" borderId="5" xfId="0" applyFont="1" applyBorder="1"/>
    <xf numFmtId="9" fontId="2" fillId="0" borderId="6" xfId="0" applyNumberFormat="1" applyFont="1" applyBorder="1" applyAlignment="1">
      <alignment horizontal="center"/>
    </xf>
    <xf numFmtId="0" fontId="2" fillId="10" borderId="7" xfId="0" applyFont="1" applyFill="1" applyBorder="1"/>
    <xf numFmtId="0" fontId="2" fillId="10" borderId="8" xfId="0" applyFont="1" applyFill="1" applyBorder="1"/>
    <xf numFmtId="2" fontId="2" fillId="10" borderId="9" xfId="0" applyNumberFormat="1" applyFont="1" applyFill="1" applyBorder="1" applyAlignment="1">
      <alignment horizontal="center"/>
    </xf>
    <xf numFmtId="0" fontId="2" fillId="11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</cellXfs>
  <cellStyles count="4">
    <cellStyle name="Normal" xfId="0" builtinId="0"/>
    <cellStyle name="Normal 2" xfId="3" xr:uid="{93B76DFD-5E63-489C-82CA-0BA3CDD663D0}"/>
    <cellStyle name="Porcentagem" xfId="2" builtinId="5"/>
    <cellStyle name="Vírgula" xfId="1" builtinId="3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98FF80-68E4-405B-AA8B-D5E95700CEC8}" name="Tabela1" displayName="Tabela1" ref="B12:M53" totalsRowShown="0" headerRowDxfId="61" tableBorderDxfId="60">
  <tableColumns count="12">
    <tableColumn id="1" xr3:uid="{2019BC0D-3A34-426B-84DA-88F79F0982BD}" name="DADOS DAS FATURAS" dataDxfId="59"/>
    <tableColumn id="2" xr3:uid="{985DDE20-41D4-4A9B-A26C-0BC0C42C04E5}" name="Coluna1" dataDxfId="58"/>
    <tableColumn id="3" xr3:uid="{287CFBB8-54E9-4EAC-A9DF-5488A68F2B97}" name="Coluna2" dataDxfId="57"/>
    <tableColumn id="4" xr3:uid="{42094AC2-94CC-4878-8D04-F960E05BEAAE}" name="Coluna3" dataDxfId="56"/>
    <tableColumn id="16" xr3:uid="{B807A568-E721-4E04-893C-965FC32D5DFA}" name="Coluna32" dataDxfId="55"/>
    <tableColumn id="5" xr3:uid="{33B1C56E-8190-4B30-8D2A-B250B6C81E9B}" name="Coluna4" dataDxfId="54"/>
    <tableColumn id="6" xr3:uid="{D522137A-7241-4867-B290-647CB2AB737C}" name="Coluna5" dataDxfId="53">
      <calculatedColumnFormula>C13+D13+E13+G13</calculatedColumnFormula>
    </tableColumn>
    <tableColumn id="7" xr3:uid="{CBB2768F-963A-4257-9340-D64365FFD8E8}" name="Coluna6" dataDxfId="52">
      <calculatedColumnFormula>H13*0.15</calculatedColumnFormula>
    </tableColumn>
    <tableColumn id="8" xr3:uid="{B5D24E5E-E45B-4EE5-BDA9-FED11B12D800}" name="Coluna7" dataDxfId="51">
      <calculatedColumnFormula>EDATE(J12,1)</calculatedColumnFormula>
    </tableColumn>
    <tableColumn id="9" xr3:uid="{98550840-9C08-4D5C-81D0-5D8F3CC32703}" name="Coluna8" dataDxfId="50"/>
    <tableColumn id="10" xr3:uid="{24CB0C22-1382-4D91-9100-B3F7C8EAE2D5}" name="Coluna9" dataDxfId="49"/>
    <tableColumn id="11" xr3:uid="{48E01C00-851C-4B73-B612-D595CA20BA43}" name="Coluna10" dataDxfId="48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016B24-6CBE-449D-B42D-51CB0EB47008}" name="Tabela14" displayName="Tabela14" ref="B12:W53" totalsRowShown="0" headerRowDxfId="47" tableBorderDxfId="46">
  <tableColumns count="22">
    <tableColumn id="1" xr3:uid="{05E5F5C7-3A90-4448-A268-17ABE2EF067F}" name="DADOS DAS FATURAS" dataDxfId="45"/>
    <tableColumn id="2" xr3:uid="{A9FF7893-ED3B-4CF9-95C5-9FBCD9B9C6A5}" name="Coluna1" dataDxfId="44"/>
    <tableColumn id="3" xr3:uid="{1430FEC7-D63F-4FD0-9A94-640273AABA16}" name="Coluna2" dataDxfId="43"/>
    <tableColumn id="4" xr3:uid="{EB05C8C9-BDBD-4866-9C4A-DB7D9C7530CC}" name="Coluna3" dataDxfId="42"/>
    <tableColumn id="16" xr3:uid="{194AF89B-8D7D-412B-8881-E5693BD7D54A}" name="Coluna32" dataDxfId="41"/>
    <tableColumn id="5" xr3:uid="{DB67BD49-3987-456F-9544-ACEAC5BBCDEF}" name="Coluna4" dataDxfId="40"/>
    <tableColumn id="6" xr3:uid="{8F682F98-3DF5-4F9D-8670-ECC8AB2DCF97}" name="Coluna5" dataDxfId="39">
      <calculatedColumnFormula>C13+D13+E13+G13</calculatedColumnFormula>
    </tableColumn>
    <tableColumn id="7" xr3:uid="{3E99102B-BEEA-4514-8C20-1ACC446A0B8A}" name="Coluna6" dataDxfId="38">
      <calculatedColumnFormula>H13*0.15</calculatedColumnFormula>
    </tableColumn>
    <tableColumn id="8" xr3:uid="{F46F223E-2DEC-439C-AF5A-9186EB253FDD}" name="Coluna7" dataDxfId="37">
      <calculatedColumnFormula>EDATE(J12,1)</calculatedColumnFormula>
    </tableColumn>
    <tableColumn id="9" xr3:uid="{8DC5E52E-59B6-4C4B-BF5E-3F0787758FB3}" name="Coluna8" dataDxfId="36"/>
    <tableColumn id="10" xr3:uid="{07905858-E5C1-4AA5-83C9-2573F253149F}" name="Coluna9" dataDxfId="35"/>
    <tableColumn id="11" xr3:uid="{D556EA31-6F2C-432C-A5AB-321826FB6E67}" name="Coluna10" dataDxfId="34"/>
    <tableColumn id="12" xr3:uid="{63A1C8DD-FE67-4B54-9B9B-820A9F6C8F4B}" name="Coluna11" dataDxfId="33"/>
    <tableColumn id="13" xr3:uid="{3B151650-A814-497F-AED8-2EC46E3EB182}" name="Coluna12" dataDxfId="32"/>
    <tableColumn id="14" xr3:uid="{BED812F4-099A-43C2-BBF5-097F5BB84F43}" name="Coluna13" dataDxfId="31"/>
    <tableColumn id="15" xr3:uid="{1E27CBB7-A3A4-41E6-B29E-55D11C0AE986}" name="Coluna14" dataDxfId="30"/>
    <tableColumn id="17" xr3:uid="{3FC014DD-37E0-4F03-A170-98A2FED45B46}" name="Coluna15" dataDxfId="29"/>
    <tableColumn id="18" xr3:uid="{21858860-BEEE-414E-8F70-93EC068193F6}" name="Coluna16" dataDxfId="28"/>
    <tableColumn id="19" xr3:uid="{54ACE249-B7BE-4007-B8DB-637CC4F030C0}" name="Coluna17" dataDxfId="27"/>
    <tableColumn id="20" xr3:uid="{98DB86DF-FD66-44E1-9C79-F1B9E02E4E00}" name="Coluna18" dataDxfId="26"/>
    <tableColumn id="21" xr3:uid="{45E61B40-49B1-4FCF-83BA-545DA06586EC}" name="Coluna19" dataDxfId="25"/>
    <tableColumn id="22" xr3:uid="{FEB4DF0E-50CA-4C3A-AFA7-EE2AE1A6AAA5}" name="Coluna20" dataDxfId="24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7E9A53-17FF-44ED-A0C4-1BCD6695CC2A}" name="Tabela145" displayName="Tabela145" ref="B12:W53" totalsRowShown="0" headerRowDxfId="23" tableBorderDxfId="22">
  <tableColumns count="22">
    <tableColumn id="1" xr3:uid="{B34DCDCF-DE87-4FC5-B81F-BA2619177EF4}" name="DADOS DAS FATURAS" dataDxfId="21"/>
    <tableColumn id="2" xr3:uid="{D2A33DDE-8628-47DF-9F47-83F30C346AB4}" name="Coluna1" dataDxfId="20"/>
    <tableColumn id="3" xr3:uid="{D30E2F81-DD03-4D1A-B49D-76253B61D988}" name="Coluna2" dataDxfId="19"/>
    <tableColumn id="4" xr3:uid="{A678A2A9-449B-4C64-BF9B-BC7DF912A33A}" name="Coluna3" dataDxfId="18"/>
    <tableColumn id="16" xr3:uid="{CC1A0CED-1161-4426-88D4-AC55A648742D}" name="Coluna32" dataDxfId="17"/>
    <tableColumn id="5" xr3:uid="{BA8F44A1-7EC2-45F8-96F5-30E84687894A}" name="Coluna4" dataDxfId="16"/>
    <tableColumn id="6" xr3:uid="{4916BB9F-8B92-4B44-ABC0-F3673723B06A}" name="Coluna5" dataDxfId="15">
      <calculatedColumnFormula>C13+D13+E13+G13</calculatedColumnFormula>
    </tableColumn>
    <tableColumn id="7" xr3:uid="{4E0BAC2A-DDD1-457D-BDA0-017467C2A7F1}" name="Coluna6" dataDxfId="14">
      <calculatedColumnFormula>H13*0.15</calculatedColumnFormula>
    </tableColumn>
    <tableColumn id="8" xr3:uid="{594BE847-11AB-465A-8CB9-283D5DF2A6D7}" name="Coluna7" dataDxfId="13">
      <calculatedColumnFormula>EDATE(J12,1)</calculatedColumnFormula>
    </tableColumn>
    <tableColumn id="9" xr3:uid="{744C8476-B966-4AF5-9954-51B22FDAE10C}" name="Coluna8" dataDxfId="12"/>
    <tableColumn id="10" xr3:uid="{1B02322A-50AA-41CE-BCF3-1E84D7438E08}" name="Coluna9" dataDxfId="11"/>
    <tableColumn id="11" xr3:uid="{B7463F9A-7D9B-4B1C-B291-73D7CD67BABB}" name="Coluna10" dataDxfId="10"/>
    <tableColumn id="12" xr3:uid="{5C3E57BA-D6DA-42D8-AEF0-B8ECD3DA5960}" name="Coluna11" dataDxfId="9"/>
    <tableColumn id="13" xr3:uid="{757F653C-1341-45CE-8B91-E1388737217A}" name="Coluna12" dataDxfId="8"/>
    <tableColumn id="14" xr3:uid="{5922C4B6-06AA-4BF1-857C-7AB438065C64}" name="Coluna13" dataDxfId="7"/>
    <tableColumn id="15" xr3:uid="{3F785CAD-9035-408B-B8C5-8091F256476A}" name="Coluna14" dataDxfId="6"/>
    <tableColumn id="17" xr3:uid="{558CA176-CF7B-466D-9EAC-3777B6B02F5A}" name="Coluna15" dataDxfId="5"/>
    <tableColumn id="18" xr3:uid="{64191C43-E534-4EB0-AD71-08C7E7AC521D}" name="Coluna16" dataDxfId="4"/>
    <tableColumn id="19" xr3:uid="{CBF71A32-0A4A-4F63-9127-089E6560BFBD}" name="Coluna17" dataDxfId="3"/>
    <tableColumn id="20" xr3:uid="{62E120B6-BCBD-4F4A-BAD4-9355A1A5291E}" name="Coluna18" dataDxfId="2"/>
    <tableColumn id="21" xr3:uid="{18416B8F-03D2-4B69-8C21-DEF88536B60C}" name="Coluna19" dataDxfId="1"/>
    <tableColumn id="22" xr3:uid="{751B059E-4E53-446E-AB7F-4D416A745A00}" name="Coluna20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F309-1692-4AA2-9466-31327CC2C984}">
  <dimension ref="B2:H19"/>
  <sheetViews>
    <sheetView topLeftCell="A10" zoomScale="160" zoomScaleNormal="160" workbookViewId="0">
      <selection activeCell="I17" sqref="I17"/>
    </sheetView>
  </sheetViews>
  <sheetFormatPr defaultRowHeight="14.25" x14ac:dyDescent="0.2"/>
  <cols>
    <col min="1" max="2" width="9.140625" style="31"/>
    <col min="3" max="3" width="11.5703125" style="31" customWidth="1"/>
    <col min="4" max="4" width="12.28515625" style="31" bestFit="1" customWidth="1"/>
    <col min="5" max="5" width="5.140625" style="31" customWidth="1"/>
    <col min="6" max="6" width="9.140625" style="31"/>
    <col min="7" max="7" width="15.140625" style="31" customWidth="1"/>
    <col min="8" max="8" width="19.5703125" style="31" customWidth="1"/>
    <col min="9" max="14" width="6.7109375" style="31" customWidth="1"/>
    <col min="15" max="16384" width="9.140625" style="31"/>
  </cols>
  <sheetData>
    <row r="2" spans="2:8" ht="15" thickBot="1" x14ac:dyDescent="0.25"/>
    <row r="3" spans="2:8" x14ac:dyDescent="0.2">
      <c r="B3" s="72" t="s">
        <v>56</v>
      </c>
      <c r="C3" s="73"/>
      <c r="D3" s="74">
        <v>2881.35</v>
      </c>
      <c r="F3" s="86" t="s">
        <v>62</v>
      </c>
    </row>
    <row r="4" spans="2:8" x14ac:dyDescent="0.2">
      <c r="B4" s="75" t="s">
        <v>57</v>
      </c>
      <c r="C4" s="76"/>
      <c r="D4" s="77">
        <v>145.58000000000001</v>
      </c>
      <c r="F4" s="86" t="s">
        <v>63</v>
      </c>
    </row>
    <row r="5" spans="2:8" x14ac:dyDescent="0.2">
      <c r="B5" s="78" t="s">
        <v>58</v>
      </c>
      <c r="C5" s="76"/>
      <c r="D5" s="79">
        <v>43055</v>
      </c>
      <c r="F5" s="31" t="s">
        <v>64</v>
      </c>
    </row>
    <row r="6" spans="2:8" x14ac:dyDescent="0.2">
      <c r="B6" s="78" t="s">
        <v>59</v>
      </c>
      <c r="C6" s="76"/>
      <c r="D6" s="79">
        <v>43079</v>
      </c>
      <c r="F6" s="31" t="s">
        <v>65</v>
      </c>
      <c r="H6" s="70">
        <v>3.8E-3</v>
      </c>
    </row>
    <row r="7" spans="2:8" x14ac:dyDescent="0.2">
      <c r="B7" s="78" t="s">
        <v>6</v>
      </c>
      <c r="C7" s="76"/>
      <c r="D7" s="80">
        <f>D6-D5</f>
        <v>24</v>
      </c>
      <c r="F7" s="31" t="s">
        <v>66</v>
      </c>
      <c r="H7" s="71">
        <v>8.2000000000000001E-5</v>
      </c>
    </row>
    <row r="8" spans="2:8" x14ac:dyDescent="0.2">
      <c r="B8" s="78" t="s">
        <v>60</v>
      </c>
      <c r="C8" s="76"/>
      <c r="D8" s="81">
        <v>0.03</v>
      </c>
      <c r="F8" s="31" t="s">
        <v>67</v>
      </c>
      <c r="H8" s="71">
        <v>4.1E-5</v>
      </c>
    </row>
    <row r="9" spans="2:8" x14ac:dyDescent="0.2">
      <c r="B9" s="75" t="s">
        <v>61</v>
      </c>
      <c r="C9" s="82"/>
      <c r="D9" s="77">
        <f>D3*D8/30*D7</f>
        <v>69.1524</v>
      </c>
    </row>
    <row r="10" spans="2:8" x14ac:dyDescent="0.2">
      <c r="B10" s="75" t="s">
        <v>68</v>
      </c>
      <c r="C10" s="82"/>
      <c r="D10" s="77">
        <f>D3*0.38%</f>
        <v>10.94913</v>
      </c>
    </row>
    <row r="11" spans="2:8" ht="15" thickBot="1" x14ac:dyDescent="0.25">
      <c r="B11" s="83" t="s">
        <v>69</v>
      </c>
      <c r="C11" s="84"/>
      <c r="D11" s="85">
        <f>D3*0.0082%*D7</f>
        <v>5.6704968000000004</v>
      </c>
    </row>
    <row r="12" spans="2:8" ht="15" thickBot="1" x14ac:dyDescent="0.25">
      <c r="B12" s="72" t="s">
        <v>79</v>
      </c>
      <c r="C12" s="98"/>
      <c r="D12" s="99">
        <v>0.02</v>
      </c>
    </row>
    <row r="13" spans="2:8" ht="15" thickBot="1" x14ac:dyDescent="0.25">
      <c r="B13" s="100" t="s">
        <v>80</v>
      </c>
      <c r="C13" s="101"/>
      <c r="D13" s="102">
        <f>D3*D12/30*D7</f>
        <v>46.101600000000005</v>
      </c>
      <c r="G13" s="116" t="s">
        <v>87</v>
      </c>
      <c r="H13" s="115" t="s">
        <v>88</v>
      </c>
    </row>
    <row r="14" spans="2:8" x14ac:dyDescent="0.2">
      <c r="G14" s="110">
        <v>40</v>
      </c>
      <c r="H14" s="111">
        <f>'AP01'!H56</f>
        <v>102.09000000000788</v>
      </c>
    </row>
    <row r="15" spans="2:8" ht="15" thickBot="1" x14ac:dyDescent="0.25">
      <c r="G15" s="112" t="s">
        <v>89</v>
      </c>
      <c r="H15" s="113">
        <f>'AP01'!D14</f>
        <v>2881.35</v>
      </c>
    </row>
    <row r="17" spans="7:8" x14ac:dyDescent="0.2">
      <c r="G17" s="31" t="s">
        <v>90</v>
      </c>
    </row>
    <row r="18" spans="7:8" x14ac:dyDescent="0.2">
      <c r="G18" s="114" t="s">
        <v>91</v>
      </c>
      <c r="H18" s="69">
        <f>(H15*G14)/H14</f>
        <v>1128.9450484865424</v>
      </c>
    </row>
    <row r="19" spans="7:8" x14ac:dyDescent="0.2">
      <c r="G19" s="46" t="s">
        <v>92</v>
      </c>
      <c r="H19" s="109">
        <f>H18/12</f>
        <v>94.078754040545206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2E4F-0912-4C48-98F8-D447A7913EC6}">
  <dimension ref="A3:R54"/>
  <sheetViews>
    <sheetView showGridLines="0" topLeftCell="A16" zoomScale="130" zoomScaleNormal="130" workbookViewId="0">
      <selection activeCell="D15" sqref="D15"/>
    </sheetView>
  </sheetViews>
  <sheetFormatPr defaultRowHeight="14.25" x14ac:dyDescent="0.2"/>
  <cols>
    <col min="1" max="1" width="9.140625" style="31"/>
    <col min="2" max="2" width="12.7109375" style="2" bestFit="1" customWidth="1"/>
    <col min="3" max="3" width="11.85546875" style="2" customWidth="1"/>
    <col min="4" max="4" width="22.28515625" style="2" customWidth="1"/>
    <col min="5" max="5" width="15.85546875" style="2" customWidth="1"/>
    <col min="6" max="6" width="10.85546875" style="2" customWidth="1"/>
    <col min="7" max="7" width="12.7109375" style="2" customWidth="1"/>
    <col min="8" max="8" width="12.42578125" style="2" customWidth="1"/>
    <col min="9" max="9" width="13.5703125" style="2" bestFit="1" customWidth="1"/>
    <col min="10" max="11" width="9.28515625" style="2" bestFit="1" customWidth="1"/>
    <col min="12" max="12" width="12.7109375" style="2" bestFit="1" customWidth="1"/>
    <col min="13" max="13" width="9.140625" style="30"/>
    <col min="14" max="14" width="9.42578125" style="30" bestFit="1" customWidth="1"/>
    <col min="15" max="16384" width="9.140625" style="31"/>
  </cols>
  <sheetData>
    <row r="3" spans="1:18" ht="42.75" x14ac:dyDescent="0.2">
      <c r="B3" s="39" t="s">
        <v>38</v>
      </c>
      <c r="C3" s="39" t="s">
        <v>39</v>
      </c>
      <c r="D3" s="39" t="s">
        <v>40</v>
      </c>
      <c r="E3" s="39" t="s">
        <v>41</v>
      </c>
      <c r="F3" s="39" t="s">
        <v>42</v>
      </c>
      <c r="G3" s="39" t="s">
        <v>43</v>
      </c>
      <c r="H3" s="39" t="s">
        <v>44</v>
      </c>
      <c r="I3" s="39" t="s">
        <v>45</v>
      </c>
      <c r="J3" s="39" t="s">
        <v>46</v>
      </c>
      <c r="K3" s="39" t="s">
        <v>47</v>
      </c>
      <c r="L3" s="39" t="s">
        <v>48</v>
      </c>
    </row>
    <row r="4" spans="1:18" x14ac:dyDescent="0.2">
      <c r="A4" s="42">
        <v>1</v>
      </c>
      <c r="B4" s="33">
        <v>43079</v>
      </c>
      <c r="C4" s="34">
        <v>0</v>
      </c>
      <c r="D4" s="34">
        <v>2897.97</v>
      </c>
      <c r="E4" s="34">
        <v>145.58000000000001</v>
      </c>
      <c r="F4" s="34">
        <v>5</v>
      </c>
      <c r="G4" s="34">
        <v>69.150000000000006</v>
      </c>
      <c r="H4" s="34">
        <f>SUM(C4:G4)</f>
        <v>3117.7</v>
      </c>
      <c r="I4" s="34">
        <v>112.32</v>
      </c>
      <c r="J4" s="35">
        <v>0.03</v>
      </c>
      <c r="K4" s="34">
        <f>I4</f>
        <v>112.32</v>
      </c>
      <c r="L4" s="33">
        <f>B4</f>
        <v>43079</v>
      </c>
      <c r="N4" s="41"/>
      <c r="O4" s="42"/>
      <c r="P4" s="43"/>
      <c r="Q4" s="40"/>
      <c r="R4" s="40"/>
    </row>
    <row r="5" spans="1:18" x14ac:dyDescent="0.2">
      <c r="A5" s="42">
        <v>2</v>
      </c>
      <c r="B5" s="36">
        <f>EDATE(B4,1)</f>
        <v>43110</v>
      </c>
      <c r="C5" s="37">
        <f>H4-K4</f>
        <v>3005.3799999999997</v>
      </c>
      <c r="D5" s="37">
        <v>0</v>
      </c>
      <c r="E5" s="37"/>
      <c r="F5" s="37">
        <v>5</v>
      </c>
      <c r="G5" s="37">
        <v>111.73</v>
      </c>
      <c r="H5" s="37">
        <f t="shared" ref="H5:H42" si="0">SUM(C5:G5)</f>
        <v>3122.1099999999997</v>
      </c>
      <c r="I5" s="37">
        <f>I4</f>
        <v>112.32</v>
      </c>
      <c r="J5" s="38">
        <f>J4</f>
        <v>0.03</v>
      </c>
      <c r="K5" s="37">
        <f t="shared" ref="K5:K43" si="1">I5</f>
        <v>112.32</v>
      </c>
      <c r="L5" s="36">
        <f t="shared" ref="L5:L43" si="2">B5</f>
        <v>43110</v>
      </c>
      <c r="N5" s="44"/>
      <c r="R5" s="40"/>
    </row>
    <row r="6" spans="1:18" x14ac:dyDescent="0.2">
      <c r="A6" s="42">
        <v>3</v>
      </c>
      <c r="B6" s="36">
        <f t="shared" ref="B6:B43" si="3">EDATE(B5,1)</f>
        <v>43141</v>
      </c>
      <c r="C6" s="37">
        <f t="shared" ref="C6:C43" si="4">H5-K5</f>
        <v>3009.7899999999995</v>
      </c>
      <c r="D6" s="37">
        <v>0</v>
      </c>
      <c r="E6" s="37"/>
      <c r="F6" s="37">
        <v>5</v>
      </c>
      <c r="G6" s="37">
        <v>101.36</v>
      </c>
      <c r="H6" s="37">
        <f t="shared" si="0"/>
        <v>3116.1499999999996</v>
      </c>
      <c r="I6" s="37">
        <f t="shared" ref="I6:I40" si="5">I5</f>
        <v>112.32</v>
      </c>
      <c r="J6" s="38">
        <f t="shared" ref="J6:J43" si="6">J5</f>
        <v>0.03</v>
      </c>
      <c r="K6" s="37">
        <f t="shared" si="1"/>
        <v>112.32</v>
      </c>
      <c r="L6" s="36">
        <f t="shared" si="2"/>
        <v>43141</v>
      </c>
      <c r="N6" s="45"/>
    </row>
    <row r="7" spans="1:18" x14ac:dyDescent="0.2">
      <c r="A7" s="42">
        <v>4</v>
      </c>
      <c r="B7" s="36">
        <f t="shared" si="3"/>
        <v>43169</v>
      </c>
      <c r="C7" s="37">
        <f t="shared" si="4"/>
        <v>3003.8299999999995</v>
      </c>
      <c r="D7" s="37">
        <v>0</v>
      </c>
      <c r="E7" s="37"/>
      <c r="F7" s="37">
        <v>0</v>
      </c>
      <c r="G7" s="37">
        <v>91.41</v>
      </c>
      <c r="H7" s="37">
        <f t="shared" si="0"/>
        <v>3095.2399999999993</v>
      </c>
      <c r="I7" s="37">
        <f t="shared" si="5"/>
        <v>112.32</v>
      </c>
      <c r="J7" s="38">
        <f t="shared" si="6"/>
        <v>0.03</v>
      </c>
      <c r="K7" s="37">
        <f t="shared" si="1"/>
        <v>112.32</v>
      </c>
      <c r="L7" s="36">
        <f>B7</f>
        <v>43169</v>
      </c>
    </row>
    <row r="8" spans="1:18" x14ac:dyDescent="0.2">
      <c r="A8" s="42">
        <v>5</v>
      </c>
      <c r="B8" s="36">
        <f t="shared" si="3"/>
        <v>43200</v>
      </c>
      <c r="C8" s="37">
        <f t="shared" si="4"/>
        <v>2982.9199999999992</v>
      </c>
      <c r="D8" s="37">
        <v>0</v>
      </c>
      <c r="E8" s="37"/>
      <c r="F8" s="37">
        <v>0</v>
      </c>
      <c r="G8" s="37">
        <v>100.4</v>
      </c>
      <c r="H8" s="37">
        <f t="shared" si="0"/>
        <v>3083.3199999999993</v>
      </c>
      <c r="I8" s="37">
        <f t="shared" si="5"/>
        <v>112.32</v>
      </c>
      <c r="J8" s="38">
        <f t="shared" si="6"/>
        <v>0.03</v>
      </c>
      <c r="K8" s="37">
        <f t="shared" si="1"/>
        <v>112.32</v>
      </c>
      <c r="L8" s="36">
        <f t="shared" si="2"/>
        <v>43200</v>
      </c>
    </row>
    <row r="9" spans="1:18" x14ac:dyDescent="0.2">
      <c r="A9" s="42">
        <v>6</v>
      </c>
      <c r="B9" s="36">
        <f t="shared" si="3"/>
        <v>43230</v>
      </c>
      <c r="C9" s="37">
        <f t="shared" si="4"/>
        <v>2970.9999999999991</v>
      </c>
      <c r="D9" s="37">
        <v>0</v>
      </c>
      <c r="E9" s="37"/>
      <c r="F9" s="37">
        <v>0</v>
      </c>
      <c r="G9" s="37">
        <v>96.82</v>
      </c>
      <c r="H9" s="37">
        <f t="shared" si="0"/>
        <v>3067.8199999999993</v>
      </c>
      <c r="I9" s="37">
        <f t="shared" si="5"/>
        <v>112.32</v>
      </c>
      <c r="J9" s="38">
        <f t="shared" si="6"/>
        <v>0.03</v>
      </c>
      <c r="K9" s="37">
        <f t="shared" si="1"/>
        <v>112.32</v>
      </c>
      <c r="L9" s="36">
        <f t="shared" si="2"/>
        <v>43230</v>
      </c>
    </row>
    <row r="10" spans="1:18" x14ac:dyDescent="0.2">
      <c r="A10" s="42">
        <v>7</v>
      </c>
      <c r="B10" s="36">
        <f t="shared" si="3"/>
        <v>43261</v>
      </c>
      <c r="C10" s="37">
        <f t="shared" si="4"/>
        <v>2955.4999999999991</v>
      </c>
      <c r="D10" s="37">
        <v>0</v>
      </c>
      <c r="E10" s="37"/>
      <c r="F10" s="37">
        <v>0</v>
      </c>
      <c r="G10" s="37">
        <v>99.5</v>
      </c>
      <c r="H10" s="37">
        <f t="shared" si="0"/>
        <v>3054.9999999999991</v>
      </c>
      <c r="I10" s="37">
        <f t="shared" si="5"/>
        <v>112.32</v>
      </c>
      <c r="J10" s="38">
        <f t="shared" si="6"/>
        <v>0.03</v>
      </c>
      <c r="K10" s="37">
        <f t="shared" si="1"/>
        <v>112.32</v>
      </c>
      <c r="L10" s="36">
        <f t="shared" si="2"/>
        <v>43261</v>
      </c>
    </row>
    <row r="11" spans="1:18" x14ac:dyDescent="0.2">
      <c r="A11" s="42">
        <v>8</v>
      </c>
      <c r="B11" s="36">
        <f t="shared" si="3"/>
        <v>43291</v>
      </c>
      <c r="C11" s="37">
        <f t="shared" si="4"/>
        <v>2942.6799999999989</v>
      </c>
      <c r="D11" s="37">
        <v>0</v>
      </c>
      <c r="E11" s="37"/>
      <c r="F11" s="37">
        <v>0</v>
      </c>
      <c r="G11" s="37">
        <v>95.9</v>
      </c>
      <c r="H11" s="37">
        <f t="shared" si="0"/>
        <v>3038.579999999999</v>
      </c>
      <c r="I11" s="37">
        <f t="shared" si="5"/>
        <v>112.32</v>
      </c>
      <c r="J11" s="38">
        <f t="shared" si="6"/>
        <v>0.03</v>
      </c>
      <c r="K11" s="37">
        <f t="shared" si="1"/>
        <v>112.32</v>
      </c>
      <c r="L11" s="36">
        <f t="shared" si="2"/>
        <v>43291</v>
      </c>
    </row>
    <row r="12" spans="1:18" x14ac:dyDescent="0.2">
      <c r="A12" s="42">
        <v>9</v>
      </c>
      <c r="B12" s="36">
        <f t="shared" si="3"/>
        <v>43322</v>
      </c>
      <c r="C12" s="37">
        <f t="shared" si="4"/>
        <v>2926.2599999999989</v>
      </c>
      <c r="D12" s="37">
        <v>0</v>
      </c>
      <c r="E12" s="37"/>
      <c r="F12" s="37">
        <v>0</v>
      </c>
      <c r="G12" s="37">
        <v>98.51</v>
      </c>
      <c r="H12" s="37">
        <f t="shared" si="0"/>
        <v>3024.7699999999991</v>
      </c>
      <c r="I12" s="37">
        <f t="shared" si="5"/>
        <v>112.32</v>
      </c>
      <c r="J12" s="38">
        <f t="shared" si="6"/>
        <v>0.03</v>
      </c>
      <c r="K12" s="37">
        <f t="shared" si="1"/>
        <v>112.32</v>
      </c>
      <c r="L12" s="36">
        <f t="shared" si="2"/>
        <v>43322</v>
      </c>
    </row>
    <row r="13" spans="1:18" x14ac:dyDescent="0.2">
      <c r="A13" s="42">
        <v>10</v>
      </c>
      <c r="B13" s="36">
        <f t="shared" si="3"/>
        <v>43353</v>
      </c>
      <c r="C13" s="37">
        <f t="shared" si="4"/>
        <v>2912.4499999999989</v>
      </c>
      <c r="D13" s="37">
        <v>0</v>
      </c>
      <c r="E13" s="37"/>
      <c r="F13" s="37">
        <v>0</v>
      </c>
      <c r="G13" s="37">
        <v>98.06</v>
      </c>
      <c r="H13" s="37">
        <f t="shared" si="0"/>
        <v>3010.5099999999989</v>
      </c>
      <c r="I13" s="37">
        <f t="shared" si="5"/>
        <v>112.32</v>
      </c>
      <c r="J13" s="38">
        <f t="shared" si="6"/>
        <v>0.03</v>
      </c>
      <c r="K13" s="37">
        <f t="shared" si="1"/>
        <v>112.32</v>
      </c>
      <c r="L13" s="36">
        <f t="shared" si="2"/>
        <v>43353</v>
      </c>
    </row>
    <row r="14" spans="1:18" x14ac:dyDescent="0.2">
      <c r="A14" s="42">
        <v>11</v>
      </c>
      <c r="B14" s="36">
        <f t="shared" si="3"/>
        <v>43383</v>
      </c>
      <c r="C14" s="37">
        <f t="shared" si="4"/>
        <v>2898.1899999999987</v>
      </c>
      <c r="D14" s="37">
        <v>0</v>
      </c>
      <c r="E14" s="37"/>
      <c r="F14" s="37">
        <v>0</v>
      </c>
      <c r="G14" s="37">
        <v>94.45</v>
      </c>
      <c r="H14" s="37">
        <f t="shared" si="0"/>
        <v>2992.6399999999985</v>
      </c>
      <c r="I14" s="37">
        <f t="shared" si="5"/>
        <v>112.32</v>
      </c>
      <c r="J14" s="38">
        <f t="shared" si="6"/>
        <v>0.03</v>
      </c>
      <c r="K14" s="37">
        <f t="shared" si="1"/>
        <v>112.32</v>
      </c>
      <c r="L14" s="36">
        <f t="shared" si="2"/>
        <v>43383</v>
      </c>
    </row>
    <row r="15" spans="1:18" x14ac:dyDescent="0.2">
      <c r="A15" s="42">
        <v>12</v>
      </c>
      <c r="B15" s="36">
        <f t="shared" si="3"/>
        <v>43414</v>
      </c>
      <c r="C15" s="37">
        <f t="shared" si="4"/>
        <v>2880.3199999999983</v>
      </c>
      <c r="D15" s="37">
        <v>0</v>
      </c>
      <c r="E15" s="37"/>
      <c r="F15" s="37">
        <v>0</v>
      </c>
      <c r="G15" s="37">
        <v>96.97</v>
      </c>
      <c r="H15" s="37">
        <f t="shared" si="0"/>
        <v>2977.2899999999981</v>
      </c>
      <c r="I15" s="37">
        <f t="shared" si="5"/>
        <v>112.32</v>
      </c>
      <c r="J15" s="38">
        <f t="shared" si="6"/>
        <v>0.03</v>
      </c>
      <c r="K15" s="37">
        <f t="shared" si="1"/>
        <v>112.32</v>
      </c>
      <c r="L15" s="36">
        <f t="shared" si="2"/>
        <v>43414</v>
      </c>
    </row>
    <row r="16" spans="1:18" x14ac:dyDescent="0.2">
      <c r="A16" s="42">
        <v>13</v>
      </c>
      <c r="B16" s="33">
        <f t="shared" si="3"/>
        <v>43444</v>
      </c>
      <c r="C16" s="34">
        <f t="shared" si="4"/>
        <v>2864.969999999998</v>
      </c>
      <c r="D16" s="34">
        <v>0</v>
      </c>
      <c r="E16" s="34">
        <v>145.58000000000001</v>
      </c>
      <c r="F16" s="34">
        <v>0</v>
      </c>
      <c r="G16" s="34">
        <v>93.37</v>
      </c>
      <c r="H16" s="34">
        <f t="shared" si="0"/>
        <v>3103.9199999999978</v>
      </c>
      <c r="I16" s="34">
        <f t="shared" si="5"/>
        <v>112.32</v>
      </c>
      <c r="J16" s="35">
        <f t="shared" si="6"/>
        <v>0.03</v>
      </c>
      <c r="K16" s="34">
        <f t="shared" si="1"/>
        <v>112.32</v>
      </c>
      <c r="L16" s="33">
        <f t="shared" si="2"/>
        <v>43444</v>
      </c>
    </row>
    <row r="17" spans="1:12" x14ac:dyDescent="0.2">
      <c r="A17" s="42">
        <v>14</v>
      </c>
      <c r="B17" s="36">
        <f t="shared" si="3"/>
        <v>43475</v>
      </c>
      <c r="C17" s="37">
        <f t="shared" si="4"/>
        <v>2991.5999999999976</v>
      </c>
      <c r="D17" s="37">
        <v>0</v>
      </c>
      <c r="E17" s="37"/>
      <c r="F17" s="37">
        <v>0</v>
      </c>
      <c r="G17" s="37">
        <v>100.32</v>
      </c>
      <c r="H17" s="37">
        <f t="shared" si="0"/>
        <v>3091.9199999999978</v>
      </c>
      <c r="I17" s="37">
        <f t="shared" si="5"/>
        <v>112.32</v>
      </c>
      <c r="J17" s="38">
        <f t="shared" si="6"/>
        <v>0.03</v>
      </c>
      <c r="K17" s="37">
        <f t="shared" si="1"/>
        <v>112.32</v>
      </c>
      <c r="L17" s="36">
        <f t="shared" si="2"/>
        <v>43475</v>
      </c>
    </row>
    <row r="18" spans="1:12" x14ac:dyDescent="0.2">
      <c r="A18" s="42">
        <v>15</v>
      </c>
      <c r="B18" s="36">
        <f t="shared" si="3"/>
        <v>43506</v>
      </c>
      <c r="C18" s="37">
        <f t="shared" si="4"/>
        <v>2979.5999999999976</v>
      </c>
      <c r="D18" s="37">
        <v>0</v>
      </c>
      <c r="E18" s="37"/>
      <c r="F18" s="37">
        <v>0</v>
      </c>
      <c r="G18" s="37">
        <v>100.22</v>
      </c>
      <c r="H18" s="37">
        <f t="shared" si="0"/>
        <v>3079.8199999999974</v>
      </c>
      <c r="I18" s="37">
        <f t="shared" si="5"/>
        <v>112.32</v>
      </c>
      <c r="J18" s="38">
        <f t="shared" si="6"/>
        <v>0.03</v>
      </c>
      <c r="K18" s="37">
        <f t="shared" si="1"/>
        <v>112.32</v>
      </c>
      <c r="L18" s="36">
        <f t="shared" si="2"/>
        <v>43506</v>
      </c>
    </row>
    <row r="19" spans="1:12" x14ac:dyDescent="0.2">
      <c r="A19" s="42">
        <v>16</v>
      </c>
      <c r="B19" s="36">
        <f t="shared" si="3"/>
        <v>43534</v>
      </c>
      <c r="C19" s="37">
        <f t="shared" si="4"/>
        <v>2967.4999999999973</v>
      </c>
      <c r="D19" s="37">
        <v>0</v>
      </c>
      <c r="E19" s="37"/>
      <c r="F19" s="37">
        <v>0</v>
      </c>
      <c r="G19" s="37">
        <v>90.29</v>
      </c>
      <c r="H19" s="37">
        <f t="shared" si="0"/>
        <v>3057.7899999999972</v>
      </c>
      <c r="I19" s="37">
        <f t="shared" si="5"/>
        <v>112.32</v>
      </c>
      <c r="J19" s="38">
        <f t="shared" si="6"/>
        <v>0.03</v>
      </c>
      <c r="K19" s="37">
        <f t="shared" si="1"/>
        <v>112.32</v>
      </c>
      <c r="L19" s="36">
        <f t="shared" si="2"/>
        <v>43534</v>
      </c>
    </row>
    <row r="20" spans="1:12" x14ac:dyDescent="0.2">
      <c r="A20" s="42">
        <v>17</v>
      </c>
      <c r="B20" s="36">
        <f t="shared" si="3"/>
        <v>43565</v>
      </c>
      <c r="C20" s="37">
        <f t="shared" si="4"/>
        <v>2945.4699999999971</v>
      </c>
      <c r="D20" s="37">
        <v>0</v>
      </c>
      <c r="E20" s="37"/>
      <c r="F20" s="37">
        <v>0</v>
      </c>
      <c r="G20" s="37">
        <v>99.15</v>
      </c>
      <c r="H20" s="37">
        <f t="shared" si="0"/>
        <v>3044.6199999999972</v>
      </c>
      <c r="I20" s="37">
        <f t="shared" si="5"/>
        <v>112.32</v>
      </c>
      <c r="J20" s="38">
        <f t="shared" si="6"/>
        <v>0.03</v>
      </c>
      <c r="K20" s="37">
        <f t="shared" si="1"/>
        <v>112.32</v>
      </c>
      <c r="L20" s="36">
        <f t="shared" si="2"/>
        <v>43565</v>
      </c>
    </row>
    <row r="21" spans="1:12" x14ac:dyDescent="0.2">
      <c r="A21" s="42">
        <v>18</v>
      </c>
      <c r="B21" s="36">
        <f t="shared" si="3"/>
        <v>43595</v>
      </c>
      <c r="C21" s="37">
        <f t="shared" si="4"/>
        <v>2932.299999999997</v>
      </c>
      <c r="D21" s="37">
        <v>0</v>
      </c>
      <c r="E21" s="37"/>
      <c r="F21" s="37">
        <v>0</v>
      </c>
      <c r="G21" s="37">
        <v>95.57</v>
      </c>
      <c r="H21" s="37">
        <f t="shared" si="0"/>
        <v>3027.8699999999972</v>
      </c>
      <c r="I21" s="37">
        <f t="shared" si="5"/>
        <v>112.32</v>
      </c>
      <c r="J21" s="38">
        <f t="shared" si="6"/>
        <v>0.03</v>
      </c>
      <c r="K21" s="37">
        <f t="shared" si="1"/>
        <v>112.32</v>
      </c>
      <c r="L21" s="36">
        <f t="shared" si="2"/>
        <v>43595</v>
      </c>
    </row>
    <row r="22" spans="1:12" x14ac:dyDescent="0.2">
      <c r="A22" s="42">
        <v>19</v>
      </c>
      <c r="B22" s="36">
        <f t="shared" si="3"/>
        <v>43626</v>
      </c>
      <c r="C22" s="37">
        <f t="shared" si="4"/>
        <v>2915.549999999997</v>
      </c>
      <c r="D22" s="37">
        <v>0</v>
      </c>
      <c r="E22" s="37"/>
      <c r="F22" s="37">
        <v>0</v>
      </c>
      <c r="G22" s="37">
        <v>98.15</v>
      </c>
      <c r="H22" s="37">
        <f t="shared" si="0"/>
        <v>3013.6999999999971</v>
      </c>
      <c r="I22" s="37">
        <f t="shared" si="5"/>
        <v>112.32</v>
      </c>
      <c r="J22" s="38">
        <f t="shared" si="6"/>
        <v>0.03</v>
      </c>
      <c r="K22" s="37">
        <f t="shared" si="1"/>
        <v>112.32</v>
      </c>
      <c r="L22" s="36">
        <f t="shared" si="2"/>
        <v>43626</v>
      </c>
    </row>
    <row r="23" spans="1:12" x14ac:dyDescent="0.2">
      <c r="A23" s="42">
        <v>20</v>
      </c>
      <c r="B23" s="36">
        <f t="shared" si="3"/>
        <v>43656</v>
      </c>
      <c r="C23" s="37">
        <f t="shared" si="4"/>
        <v>2901.3799999999969</v>
      </c>
      <c r="D23" s="37">
        <v>0</v>
      </c>
      <c r="E23" s="37"/>
      <c r="F23" s="37">
        <v>0</v>
      </c>
      <c r="G23" s="37">
        <v>94.55</v>
      </c>
      <c r="H23" s="37">
        <f t="shared" si="0"/>
        <v>2995.9299999999971</v>
      </c>
      <c r="I23" s="37">
        <f t="shared" si="5"/>
        <v>112.32</v>
      </c>
      <c r="J23" s="38">
        <f t="shared" si="6"/>
        <v>0.03</v>
      </c>
      <c r="K23" s="37">
        <f t="shared" si="1"/>
        <v>112.32</v>
      </c>
      <c r="L23" s="36">
        <f t="shared" si="2"/>
        <v>43656</v>
      </c>
    </row>
    <row r="24" spans="1:12" x14ac:dyDescent="0.2">
      <c r="A24" s="42">
        <v>21</v>
      </c>
      <c r="B24" s="36">
        <f t="shared" si="3"/>
        <v>43687</v>
      </c>
      <c r="C24" s="37">
        <f t="shared" si="4"/>
        <v>2883.6099999999969</v>
      </c>
      <c r="D24" s="37">
        <v>0</v>
      </c>
      <c r="E24" s="37"/>
      <c r="F24" s="37">
        <v>0</v>
      </c>
      <c r="G24" s="37">
        <v>97.08</v>
      </c>
      <c r="H24" s="37">
        <f t="shared" si="0"/>
        <v>2980.6899999999969</v>
      </c>
      <c r="I24" s="37">
        <f t="shared" si="5"/>
        <v>112.32</v>
      </c>
      <c r="J24" s="38">
        <f t="shared" si="6"/>
        <v>0.03</v>
      </c>
      <c r="K24" s="37">
        <f t="shared" si="1"/>
        <v>112.32</v>
      </c>
      <c r="L24" s="36">
        <f t="shared" si="2"/>
        <v>43687</v>
      </c>
    </row>
    <row r="25" spans="1:12" x14ac:dyDescent="0.2">
      <c r="A25" s="42">
        <v>22</v>
      </c>
      <c r="B25" s="36">
        <f t="shared" si="3"/>
        <v>43718</v>
      </c>
      <c r="C25" s="37">
        <f t="shared" si="4"/>
        <v>2868.3699999999967</v>
      </c>
      <c r="D25" s="37">
        <v>0</v>
      </c>
      <c r="E25" s="37"/>
      <c r="F25" s="37">
        <v>0</v>
      </c>
      <c r="G25" s="37">
        <v>96.58</v>
      </c>
      <c r="H25" s="37">
        <f t="shared" si="0"/>
        <v>2964.9499999999966</v>
      </c>
      <c r="I25" s="37">
        <f t="shared" si="5"/>
        <v>112.32</v>
      </c>
      <c r="J25" s="38">
        <f t="shared" si="6"/>
        <v>0.03</v>
      </c>
      <c r="K25" s="37">
        <f t="shared" si="1"/>
        <v>112.32</v>
      </c>
      <c r="L25" s="36">
        <f t="shared" si="2"/>
        <v>43718</v>
      </c>
    </row>
    <row r="26" spans="1:12" x14ac:dyDescent="0.2">
      <c r="A26" s="42">
        <v>23</v>
      </c>
      <c r="B26" s="36">
        <f t="shared" si="3"/>
        <v>43748</v>
      </c>
      <c r="C26" s="37">
        <f t="shared" si="4"/>
        <v>2852.6299999999965</v>
      </c>
      <c r="D26" s="37">
        <v>0</v>
      </c>
      <c r="E26" s="37"/>
      <c r="F26" s="37">
        <v>0</v>
      </c>
      <c r="G26" s="37">
        <v>92.97</v>
      </c>
      <c r="H26" s="37">
        <f t="shared" si="0"/>
        <v>2945.5999999999963</v>
      </c>
      <c r="I26" s="37">
        <f t="shared" si="5"/>
        <v>112.32</v>
      </c>
      <c r="J26" s="38">
        <f t="shared" si="6"/>
        <v>0.03</v>
      </c>
      <c r="K26" s="37">
        <f t="shared" si="1"/>
        <v>112.32</v>
      </c>
      <c r="L26" s="36">
        <f t="shared" si="2"/>
        <v>43748</v>
      </c>
    </row>
    <row r="27" spans="1:12" x14ac:dyDescent="0.2">
      <c r="A27" s="42">
        <v>24</v>
      </c>
      <c r="B27" s="36">
        <f t="shared" si="3"/>
        <v>43779</v>
      </c>
      <c r="C27" s="37">
        <f t="shared" si="4"/>
        <v>2833.2799999999961</v>
      </c>
      <c r="D27" s="37">
        <v>0</v>
      </c>
      <c r="E27" s="37"/>
      <c r="F27" s="37">
        <v>0</v>
      </c>
      <c r="G27" s="37">
        <v>95.38</v>
      </c>
      <c r="H27" s="37">
        <f t="shared" si="0"/>
        <v>2928.6599999999962</v>
      </c>
      <c r="I27" s="37">
        <f t="shared" si="5"/>
        <v>112.32</v>
      </c>
      <c r="J27" s="38">
        <f t="shared" si="6"/>
        <v>0.03</v>
      </c>
      <c r="K27" s="37">
        <f t="shared" si="1"/>
        <v>112.32</v>
      </c>
      <c r="L27" s="36">
        <f t="shared" si="2"/>
        <v>43779</v>
      </c>
    </row>
    <row r="28" spans="1:12" x14ac:dyDescent="0.2">
      <c r="A28" s="42">
        <v>25</v>
      </c>
      <c r="B28" s="33">
        <f t="shared" si="3"/>
        <v>43809</v>
      </c>
      <c r="C28" s="34">
        <f t="shared" si="4"/>
        <v>2816.3399999999961</v>
      </c>
      <c r="D28" s="34">
        <v>0</v>
      </c>
      <c r="E28" s="34">
        <v>160.18</v>
      </c>
      <c r="F28" s="34">
        <v>0</v>
      </c>
      <c r="G28" s="34">
        <v>91.78</v>
      </c>
      <c r="H28" s="34">
        <f t="shared" si="0"/>
        <v>3068.2999999999961</v>
      </c>
      <c r="I28" s="34">
        <f t="shared" si="5"/>
        <v>112.32</v>
      </c>
      <c r="J28" s="35">
        <f t="shared" si="6"/>
        <v>0.03</v>
      </c>
      <c r="K28" s="34">
        <f t="shared" si="1"/>
        <v>112.32</v>
      </c>
      <c r="L28" s="33">
        <f t="shared" si="2"/>
        <v>43809</v>
      </c>
    </row>
    <row r="29" spans="1:12" x14ac:dyDescent="0.2">
      <c r="A29" s="42">
        <v>26</v>
      </c>
      <c r="B29" s="36">
        <f t="shared" si="3"/>
        <v>43840</v>
      </c>
      <c r="C29" s="37">
        <f t="shared" si="4"/>
        <v>2955.9799999999959</v>
      </c>
      <c r="D29" s="37">
        <v>0</v>
      </c>
      <c r="E29" s="37"/>
      <c r="F29" s="37">
        <v>0</v>
      </c>
      <c r="G29" s="37">
        <v>100.12</v>
      </c>
      <c r="H29" s="37">
        <f t="shared" si="0"/>
        <v>3056.0999999999958</v>
      </c>
      <c r="I29" s="37">
        <f t="shared" si="5"/>
        <v>112.32</v>
      </c>
      <c r="J29" s="38">
        <f t="shared" si="6"/>
        <v>0.03</v>
      </c>
      <c r="K29" s="37">
        <f t="shared" si="1"/>
        <v>112.32</v>
      </c>
      <c r="L29" s="36">
        <f t="shared" si="2"/>
        <v>43840</v>
      </c>
    </row>
    <row r="30" spans="1:12" x14ac:dyDescent="0.2">
      <c r="A30" s="42">
        <v>27</v>
      </c>
      <c r="B30" s="36">
        <f t="shared" si="3"/>
        <v>43871</v>
      </c>
      <c r="C30" s="37">
        <f t="shared" si="4"/>
        <v>2943.7799999999957</v>
      </c>
      <c r="D30" s="37">
        <v>0</v>
      </c>
      <c r="E30" s="37"/>
      <c r="F30" s="37">
        <v>0</v>
      </c>
      <c r="G30" s="37">
        <v>99.13</v>
      </c>
      <c r="H30" s="37">
        <f t="shared" si="0"/>
        <v>3042.9099999999958</v>
      </c>
      <c r="I30" s="37">
        <f t="shared" si="5"/>
        <v>112.32</v>
      </c>
      <c r="J30" s="38">
        <f t="shared" si="6"/>
        <v>0.03</v>
      </c>
      <c r="K30" s="37">
        <f t="shared" si="1"/>
        <v>112.32</v>
      </c>
      <c r="L30" s="36">
        <f t="shared" si="2"/>
        <v>43871</v>
      </c>
    </row>
    <row r="31" spans="1:12" x14ac:dyDescent="0.2">
      <c r="A31" s="42">
        <v>28</v>
      </c>
      <c r="B31" s="36">
        <f t="shared" si="3"/>
        <v>43900</v>
      </c>
      <c r="C31" s="37">
        <f t="shared" si="4"/>
        <v>2930.5899999999956</v>
      </c>
      <c r="D31" s="37">
        <v>0</v>
      </c>
      <c r="E31" s="37"/>
      <c r="F31" s="37">
        <v>0</v>
      </c>
      <c r="G31" s="37">
        <v>92.33</v>
      </c>
      <c r="H31" s="37">
        <f t="shared" si="0"/>
        <v>3022.9199999999955</v>
      </c>
      <c r="I31" s="37">
        <f t="shared" si="5"/>
        <v>112.32</v>
      </c>
      <c r="J31" s="38">
        <f t="shared" si="6"/>
        <v>0.03</v>
      </c>
      <c r="K31" s="37">
        <f t="shared" si="1"/>
        <v>112.32</v>
      </c>
      <c r="L31" s="36">
        <f t="shared" si="2"/>
        <v>43900</v>
      </c>
    </row>
    <row r="32" spans="1:12" x14ac:dyDescent="0.2">
      <c r="A32" s="42">
        <v>29</v>
      </c>
      <c r="B32" s="36">
        <f t="shared" si="3"/>
        <v>43931</v>
      </c>
      <c r="C32" s="37">
        <f t="shared" si="4"/>
        <v>2910.5999999999954</v>
      </c>
      <c r="D32" s="37">
        <v>0</v>
      </c>
      <c r="E32" s="37"/>
      <c r="F32" s="37">
        <v>0</v>
      </c>
      <c r="G32" s="37">
        <v>97.99</v>
      </c>
      <c r="H32" s="37">
        <f t="shared" si="0"/>
        <v>3008.5899999999951</v>
      </c>
      <c r="I32" s="37">
        <f t="shared" si="5"/>
        <v>112.32</v>
      </c>
      <c r="J32" s="38">
        <v>2.7E-2</v>
      </c>
      <c r="K32" s="37">
        <f t="shared" si="1"/>
        <v>112.32</v>
      </c>
      <c r="L32" s="36">
        <f t="shared" si="2"/>
        <v>43931</v>
      </c>
    </row>
    <row r="33" spans="1:12" x14ac:dyDescent="0.2">
      <c r="A33" s="42">
        <v>30</v>
      </c>
      <c r="B33" s="36">
        <f>EDATE(B32,1)</f>
        <v>43961</v>
      </c>
      <c r="C33" s="37">
        <f t="shared" si="4"/>
        <v>2896.269999999995</v>
      </c>
      <c r="D33" s="37">
        <v>0</v>
      </c>
      <c r="E33" s="37"/>
      <c r="F33" s="37">
        <v>0</v>
      </c>
      <c r="G33" s="37">
        <v>76.239999999999995</v>
      </c>
      <c r="H33" s="37">
        <f t="shared" si="0"/>
        <v>2972.5099999999948</v>
      </c>
      <c r="I33" s="37">
        <f t="shared" si="5"/>
        <v>112.32</v>
      </c>
      <c r="J33" s="38">
        <f t="shared" si="6"/>
        <v>2.7E-2</v>
      </c>
      <c r="K33" s="37">
        <f t="shared" si="1"/>
        <v>112.32</v>
      </c>
      <c r="L33" s="36">
        <f t="shared" si="2"/>
        <v>43961</v>
      </c>
    </row>
    <row r="34" spans="1:12" x14ac:dyDescent="0.2">
      <c r="A34" s="42">
        <v>31</v>
      </c>
      <c r="B34" s="36">
        <f t="shared" si="3"/>
        <v>43992</v>
      </c>
      <c r="C34" s="37">
        <f t="shared" si="4"/>
        <v>2860.1899999999946</v>
      </c>
      <c r="D34" s="37">
        <v>0</v>
      </c>
      <c r="E34" s="37"/>
      <c r="F34" s="37">
        <v>0</v>
      </c>
      <c r="G34" s="37">
        <v>79.8</v>
      </c>
      <c r="H34" s="37">
        <f t="shared" si="0"/>
        <v>2939.9899999999948</v>
      </c>
      <c r="I34" s="37">
        <f t="shared" si="5"/>
        <v>112.32</v>
      </c>
      <c r="J34" s="38">
        <f t="shared" si="6"/>
        <v>2.7E-2</v>
      </c>
      <c r="K34" s="37">
        <f t="shared" si="1"/>
        <v>112.32</v>
      </c>
      <c r="L34" s="36">
        <f t="shared" si="2"/>
        <v>43992</v>
      </c>
    </row>
    <row r="35" spans="1:12" x14ac:dyDescent="0.2">
      <c r="A35" s="42">
        <v>32</v>
      </c>
      <c r="B35" s="36">
        <f t="shared" si="3"/>
        <v>44022</v>
      </c>
      <c r="C35" s="37">
        <f t="shared" si="4"/>
        <v>2827.6699999999946</v>
      </c>
      <c r="D35" s="37">
        <v>0</v>
      </c>
      <c r="E35" s="37"/>
      <c r="F35" s="37">
        <v>0</v>
      </c>
      <c r="G35" s="37">
        <v>76.349999999999994</v>
      </c>
      <c r="H35" s="37">
        <f t="shared" si="0"/>
        <v>2904.0199999999945</v>
      </c>
      <c r="I35" s="37">
        <f t="shared" si="5"/>
        <v>112.32</v>
      </c>
      <c r="J35" s="38">
        <f t="shared" si="6"/>
        <v>2.7E-2</v>
      </c>
      <c r="K35" s="37">
        <f t="shared" si="1"/>
        <v>112.32</v>
      </c>
      <c r="L35" s="36">
        <f t="shared" si="2"/>
        <v>44022</v>
      </c>
    </row>
    <row r="36" spans="1:12" x14ac:dyDescent="0.2">
      <c r="A36" s="42">
        <v>33</v>
      </c>
      <c r="B36" s="36">
        <f t="shared" si="3"/>
        <v>44053</v>
      </c>
      <c r="C36" s="37">
        <f t="shared" si="4"/>
        <v>2791.6999999999944</v>
      </c>
      <c r="D36" s="37">
        <v>0</v>
      </c>
      <c r="E36" s="37"/>
      <c r="F36" s="37">
        <v>0</v>
      </c>
      <c r="G36" s="37">
        <v>77.89</v>
      </c>
      <c r="H36" s="37">
        <f t="shared" si="0"/>
        <v>2869.5899999999942</v>
      </c>
      <c r="I36" s="37">
        <f t="shared" si="5"/>
        <v>112.32</v>
      </c>
      <c r="J36" s="38">
        <f t="shared" si="6"/>
        <v>2.7E-2</v>
      </c>
      <c r="K36" s="37">
        <f t="shared" si="1"/>
        <v>112.32</v>
      </c>
      <c r="L36" s="36">
        <f t="shared" si="2"/>
        <v>44053</v>
      </c>
    </row>
    <row r="37" spans="1:12" x14ac:dyDescent="0.2">
      <c r="A37" s="42">
        <v>34</v>
      </c>
      <c r="B37" s="36">
        <f t="shared" si="3"/>
        <v>44084</v>
      </c>
      <c r="C37" s="37">
        <f t="shared" si="4"/>
        <v>2757.2699999999941</v>
      </c>
      <c r="D37" s="37">
        <v>0</v>
      </c>
      <c r="E37" s="37"/>
      <c r="F37" s="37">
        <v>0</v>
      </c>
      <c r="G37" s="37">
        <v>76.930000000000007</v>
      </c>
      <c r="H37" s="37">
        <f t="shared" si="0"/>
        <v>2834.1999999999939</v>
      </c>
      <c r="I37" s="37">
        <f t="shared" si="5"/>
        <v>112.32</v>
      </c>
      <c r="J37" s="38">
        <f t="shared" si="6"/>
        <v>2.7E-2</v>
      </c>
      <c r="K37" s="37">
        <f t="shared" si="1"/>
        <v>112.32</v>
      </c>
      <c r="L37" s="36">
        <f t="shared" si="2"/>
        <v>44084</v>
      </c>
    </row>
    <row r="38" spans="1:12" x14ac:dyDescent="0.2">
      <c r="A38" s="42">
        <v>35</v>
      </c>
      <c r="B38" s="36">
        <f t="shared" si="3"/>
        <v>44114</v>
      </c>
      <c r="C38" s="37">
        <f t="shared" si="4"/>
        <v>2721.8799999999937</v>
      </c>
      <c r="D38" s="37">
        <v>0</v>
      </c>
      <c r="E38" s="37"/>
      <c r="F38" s="37">
        <v>0</v>
      </c>
      <c r="G38" s="37">
        <v>73.489999999999995</v>
      </c>
      <c r="H38" s="37">
        <f t="shared" si="0"/>
        <v>2795.3699999999935</v>
      </c>
      <c r="I38" s="37">
        <f t="shared" si="5"/>
        <v>112.32</v>
      </c>
      <c r="J38" s="38">
        <f t="shared" si="6"/>
        <v>2.7E-2</v>
      </c>
      <c r="K38" s="37">
        <f t="shared" si="1"/>
        <v>112.32</v>
      </c>
      <c r="L38" s="36">
        <f t="shared" si="2"/>
        <v>44114</v>
      </c>
    </row>
    <row r="39" spans="1:12" x14ac:dyDescent="0.2">
      <c r="A39" s="42">
        <v>36</v>
      </c>
      <c r="B39" s="36">
        <f t="shared" si="3"/>
        <v>44145</v>
      </c>
      <c r="C39" s="37">
        <f t="shared" si="4"/>
        <v>2683.0499999999934</v>
      </c>
      <c r="D39" s="37">
        <v>0</v>
      </c>
      <c r="E39" s="37"/>
      <c r="F39" s="37">
        <v>0</v>
      </c>
      <c r="G39" s="37">
        <v>74.87</v>
      </c>
      <c r="H39" s="37">
        <f t="shared" si="0"/>
        <v>2757.9199999999933</v>
      </c>
      <c r="I39" s="37">
        <f t="shared" si="5"/>
        <v>112.32</v>
      </c>
      <c r="J39" s="38">
        <f t="shared" si="6"/>
        <v>2.7E-2</v>
      </c>
      <c r="K39" s="37">
        <f t="shared" si="1"/>
        <v>112.32</v>
      </c>
      <c r="L39" s="36">
        <f t="shared" si="2"/>
        <v>44145</v>
      </c>
    </row>
    <row r="40" spans="1:12" x14ac:dyDescent="0.2">
      <c r="A40" s="42">
        <v>37</v>
      </c>
      <c r="B40" s="33">
        <f t="shared" si="3"/>
        <v>44175</v>
      </c>
      <c r="C40" s="34">
        <f t="shared" si="4"/>
        <v>2645.5999999999931</v>
      </c>
      <c r="D40" s="34">
        <v>0</v>
      </c>
      <c r="E40" s="34">
        <v>180.58</v>
      </c>
      <c r="F40" s="34">
        <v>0</v>
      </c>
      <c r="G40" s="34">
        <v>71.430000000000007</v>
      </c>
      <c r="H40" s="34">
        <f t="shared" si="0"/>
        <v>2897.6099999999929</v>
      </c>
      <c r="I40" s="34">
        <f t="shared" si="5"/>
        <v>112.32</v>
      </c>
      <c r="J40" s="35">
        <f t="shared" si="6"/>
        <v>2.7E-2</v>
      </c>
      <c r="K40" s="34">
        <f t="shared" si="1"/>
        <v>112.32</v>
      </c>
      <c r="L40" s="33">
        <f t="shared" si="2"/>
        <v>44175</v>
      </c>
    </row>
    <row r="41" spans="1:12" x14ac:dyDescent="0.2">
      <c r="A41" s="42">
        <v>38</v>
      </c>
      <c r="B41" s="36">
        <f t="shared" si="3"/>
        <v>44206</v>
      </c>
      <c r="C41" s="37">
        <f t="shared" si="4"/>
        <v>2785.2899999999927</v>
      </c>
      <c r="D41" s="37">
        <v>0</v>
      </c>
      <c r="E41" s="37"/>
      <c r="F41" s="37">
        <v>0</v>
      </c>
      <c r="G41" s="37">
        <v>82.64</v>
      </c>
      <c r="H41" s="37">
        <f t="shared" si="0"/>
        <v>2867.9299999999926</v>
      </c>
      <c r="I41" s="37">
        <v>124.62</v>
      </c>
      <c r="J41" s="38">
        <f t="shared" si="6"/>
        <v>2.7E-2</v>
      </c>
      <c r="K41" s="37">
        <f t="shared" si="1"/>
        <v>124.62</v>
      </c>
      <c r="L41" s="36">
        <f t="shared" si="2"/>
        <v>44206</v>
      </c>
    </row>
    <row r="42" spans="1:12" x14ac:dyDescent="0.2">
      <c r="A42" s="42">
        <v>39</v>
      </c>
      <c r="B42" s="36">
        <f>EDATE(B41,1)</f>
        <v>44237</v>
      </c>
      <c r="C42" s="37">
        <f t="shared" si="4"/>
        <v>2743.3099999999927</v>
      </c>
      <c r="D42" s="37">
        <v>0</v>
      </c>
      <c r="E42" s="37"/>
      <c r="F42" s="37">
        <v>0</v>
      </c>
      <c r="G42" s="37">
        <v>85.88</v>
      </c>
      <c r="H42" s="37">
        <f t="shared" si="0"/>
        <v>2829.1899999999928</v>
      </c>
      <c r="I42" s="37">
        <f>I41</f>
        <v>124.62</v>
      </c>
      <c r="J42" s="38">
        <f t="shared" si="6"/>
        <v>2.7E-2</v>
      </c>
      <c r="K42" s="37">
        <f t="shared" si="1"/>
        <v>124.62</v>
      </c>
      <c r="L42" s="36">
        <f t="shared" si="2"/>
        <v>44237</v>
      </c>
    </row>
    <row r="43" spans="1:12" x14ac:dyDescent="0.2">
      <c r="A43" s="42">
        <v>40</v>
      </c>
      <c r="B43" s="36">
        <f t="shared" si="3"/>
        <v>44265</v>
      </c>
      <c r="C43" s="37">
        <f t="shared" si="4"/>
        <v>2704.5699999999929</v>
      </c>
      <c r="D43" s="37">
        <v>0</v>
      </c>
      <c r="E43" s="37"/>
      <c r="F43" s="37">
        <v>0</v>
      </c>
      <c r="G43" s="37">
        <v>74.69</v>
      </c>
      <c r="H43" s="47">
        <f>SUM(C43:G43)</f>
        <v>2779.2599999999929</v>
      </c>
      <c r="I43" s="37">
        <v>125.29</v>
      </c>
      <c r="J43" s="38">
        <f t="shared" si="6"/>
        <v>2.7E-2</v>
      </c>
      <c r="K43" s="37">
        <f t="shared" si="1"/>
        <v>125.29</v>
      </c>
      <c r="L43" s="36">
        <f t="shared" si="2"/>
        <v>44265</v>
      </c>
    </row>
    <row r="44" spans="1:12" x14ac:dyDescent="0.2">
      <c r="B44" s="32"/>
    </row>
    <row r="45" spans="1:12" x14ac:dyDescent="0.2">
      <c r="B45" s="32"/>
    </row>
    <row r="46" spans="1:12" x14ac:dyDescent="0.2">
      <c r="B46" s="32"/>
      <c r="H46" s="48">
        <f>D4-H43</f>
        <v>118.71000000000686</v>
      </c>
    </row>
    <row r="47" spans="1:12" x14ac:dyDescent="0.2">
      <c r="B47" s="32"/>
      <c r="I47" s="49">
        <f>D4/H46</f>
        <v>24.412180945159061</v>
      </c>
    </row>
    <row r="48" spans="1:12" x14ac:dyDescent="0.2">
      <c r="B48" s="32"/>
      <c r="H48" s="49">
        <f>A43*I47</f>
        <v>976.48723780636249</v>
      </c>
    </row>
    <row r="49" spans="2:8" x14ac:dyDescent="0.2">
      <c r="B49" s="32"/>
      <c r="H49" s="49">
        <f>H48/12</f>
        <v>81.373936483863545</v>
      </c>
    </row>
    <row r="50" spans="2:8" x14ac:dyDescent="0.2">
      <c r="B50" s="32"/>
    </row>
    <row r="51" spans="2:8" x14ac:dyDescent="0.2">
      <c r="B51" s="32"/>
    </row>
    <row r="52" spans="2:8" x14ac:dyDescent="0.2">
      <c r="B52" s="32"/>
    </row>
    <row r="53" spans="2:8" x14ac:dyDescent="0.2">
      <c r="B53" s="32"/>
    </row>
    <row r="54" spans="2:8" x14ac:dyDescent="0.2">
      <c r="B54" s="3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534F5-E3E2-4CF3-8AC4-EB2D481706C9}">
  <dimension ref="A1:P74"/>
  <sheetViews>
    <sheetView showGridLines="0" tabSelected="1" topLeftCell="A4" zoomScale="130" zoomScaleNormal="130" zoomScalePageLayoutView="70" workbookViewId="0">
      <selection activeCell="I8" sqref="I8"/>
    </sheetView>
  </sheetViews>
  <sheetFormatPr defaultRowHeight="14.25" x14ac:dyDescent="0.25"/>
  <cols>
    <col min="1" max="1" width="9.140625" style="1"/>
    <col min="2" max="2" width="12.5703125" style="1" customWidth="1"/>
    <col min="3" max="3" width="11" style="1" customWidth="1"/>
    <col min="4" max="4" width="10.140625" style="1" customWidth="1"/>
    <col min="5" max="5" width="11.140625" style="1" customWidth="1"/>
    <col min="6" max="6" width="6" style="1" customWidth="1"/>
    <col min="7" max="7" width="10.85546875" style="1" customWidth="1"/>
    <col min="8" max="8" width="11" style="1" bestFit="1" customWidth="1"/>
    <col min="9" max="9" width="12.28515625" style="1" bestFit="1" customWidth="1"/>
    <col min="10" max="10" width="13.140625" style="1" customWidth="1"/>
    <col min="11" max="11" width="12.85546875" style="1" bestFit="1" customWidth="1"/>
    <col min="12" max="12" width="10" style="1" bestFit="1" customWidth="1"/>
    <col min="13" max="13" width="12.7109375" style="1" bestFit="1" customWidth="1"/>
    <col min="14" max="14" width="9.140625" style="1"/>
    <col min="15" max="15" width="15.7109375" style="1" bestFit="1" customWidth="1"/>
    <col min="16" max="16" width="17.140625" style="1" bestFit="1" customWidth="1"/>
    <col min="17" max="17" width="10.5703125" style="1" customWidth="1"/>
    <col min="18" max="16384" width="9.140625" style="1"/>
  </cols>
  <sheetData>
    <row r="1" spans="1:16" x14ac:dyDescent="0.25">
      <c r="H1" s="18"/>
      <c r="I1" s="52"/>
    </row>
    <row r="2" spans="1:16" x14ac:dyDescent="0.25">
      <c r="C2" s="63"/>
      <c r="D2" s="63"/>
      <c r="E2" s="17"/>
      <c r="F2" s="17"/>
      <c r="H2" s="14"/>
      <c r="I2" s="20"/>
      <c r="J2" s="5"/>
    </row>
    <row r="3" spans="1:16" x14ac:dyDescent="0.25">
      <c r="C3" s="63"/>
      <c r="D3" s="63"/>
      <c r="E3" s="17"/>
      <c r="F3" s="17"/>
      <c r="H3" s="18"/>
      <c r="K3" s="6"/>
    </row>
    <row r="4" spans="1:16" ht="16.5" thickBot="1" x14ac:dyDescent="0.3">
      <c r="B4" s="4"/>
      <c r="H4" s="15"/>
      <c r="I4" s="15"/>
      <c r="J4" s="16"/>
      <c r="K4" s="5"/>
      <c r="L4" s="13"/>
    </row>
    <row r="5" spans="1:16" ht="18.75" thickBot="1" x14ac:dyDescent="0.3">
      <c r="B5" s="60" t="s">
        <v>35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6" ht="4.5" customHeight="1" thickBot="1" x14ac:dyDescent="0.3">
      <c r="B6" s="4"/>
      <c r="J6" s="7"/>
    </row>
    <row r="7" spans="1:16" x14ac:dyDescent="0.25">
      <c r="B7" s="25" t="s">
        <v>70</v>
      </c>
      <c r="C7" s="21"/>
      <c r="D7" s="22"/>
      <c r="J7" s="7"/>
    </row>
    <row r="8" spans="1:16" x14ac:dyDescent="0.25">
      <c r="B8" s="87" t="s">
        <v>71</v>
      </c>
      <c r="C8" s="88"/>
      <c r="D8" s="89"/>
      <c r="J8" s="5"/>
    </row>
    <row r="9" spans="1:16" ht="15" thickBot="1" x14ac:dyDescent="0.3">
      <c r="B9" s="26" t="s">
        <v>37</v>
      </c>
      <c r="C9" s="23"/>
      <c r="D9" s="24"/>
      <c r="H9" s="18"/>
      <c r="J9" s="7"/>
    </row>
    <row r="10" spans="1:16" ht="4.5" customHeight="1" thickBot="1" x14ac:dyDescent="0.3">
      <c r="B10" s="4"/>
      <c r="J10" s="7"/>
    </row>
    <row r="11" spans="1:16" s="12" customFormat="1" ht="22.5" customHeight="1" thickBot="1" x14ac:dyDescent="0.3">
      <c r="B11" s="64" t="s">
        <v>32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6"/>
    </row>
    <row r="12" spans="1:16" ht="21" hidden="1" customHeight="1" thickBot="1" x14ac:dyDescent="0.3">
      <c r="B12" s="11" t="s">
        <v>10</v>
      </c>
      <c r="C12" s="11" t="s">
        <v>15</v>
      </c>
      <c r="D12" s="11" t="s">
        <v>16</v>
      </c>
      <c r="E12" s="11" t="s">
        <v>17</v>
      </c>
      <c r="F12" s="11" t="s">
        <v>52</v>
      </c>
      <c r="G12" s="11" t="s">
        <v>18</v>
      </c>
      <c r="H12" s="11" t="s">
        <v>19</v>
      </c>
      <c r="I12" s="11" t="s">
        <v>20</v>
      </c>
      <c r="J12" s="11" t="s">
        <v>21</v>
      </c>
      <c r="K12" s="11" t="s">
        <v>22</v>
      </c>
      <c r="L12" s="11" t="s">
        <v>23</v>
      </c>
      <c r="M12" s="11" t="s">
        <v>24</v>
      </c>
    </row>
    <row r="13" spans="1:16" s="2" customFormat="1" ht="29.25" thickBot="1" x14ac:dyDescent="0.3">
      <c r="B13" s="53" t="s">
        <v>49</v>
      </c>
      <c r="C13" s="54" t="s">
        <v>33</v>
      </c>
      <c r="D13" s="54" t="s">
        <v>51</v>
      </c>
      <c r="E13" s="59" t="s">
        <v>50</v>
      </c>
      <c r="F13" s="54" t="s">
        <v>7</v>
      </c>
      <c r="G13" s="54" t="s">
        <v>0</v>
      </c>
      <c r="H13" s="54" t="s">
        <v>1</v>
      </c>
      <c r="I13" s="54" t="s">
        <v>2</v>
      </c>
      <c r="J13" s="54" t="s">
        <v>3</v>
      </c>
      <c r="K13" s="54" t="s">
        <v>11</v>
      </c>
      <c r="L13" s="54" t="s">
        <v>4</v>
      </c>
      <c r="M13" s="55" t="s">
        <v>5</v>
      </c>
    </row>
    <row r="14" spans="1:16" x14ac:dyDescent="0.25">
      <c r="A14" s="1">
        <v>1</v>
      </c>
      <c r="B14" s="27">
        <v>43079</v>
      </c>
      <c r="C14" s="8">
        <v>0</v>
      </c>
      <c r="D14" s="8">
        <v>2881.35</v>
      </c>
      <c r="E14" s="19">
        <v>150.58000000000001</v>
      </c>
      <c r="F14" s="8">
        <f>10.95+5.67</f>
        <v>16.619999999999997</v>
      </c>
      <c r="G14" s="8">
        <v>69.150000000000006</v>
      </c>
      <c r="H14" s="8">
        <f>SUM(Tabela1[[#This Row],[Coluna1]:[Coluna4]])</f>
        <v>3117.7</v>
      </c>
      <c r="I14" s="8">
        <v>112.32</v>
      </c>
      <c r="J14" s="9">
        <f>Tabela1[[#This Row],[DADOS DAS FATURAS]]</f>
        <v>43079</v>
      </c>
      <c r="K14" s="10">
        <v>0.03</v>
      </c>
      <c r="L14" s="8">
        <f>Tabela1[[#This Row],[Coluna6]]</f>
        <v>112.32</v>
      </c>
      <c r="M14" s="28">
        <f>Tabela1[[#This Row],[Coluna7]]</f>
        <v>43079</v>
      </c>
      <c r="O14" s="18"/>
      <c r="P14" s="20"/>
    </row>
    <row r="15" spans="1:16" x14ac:dyDescent="0.25">
      <c r="A15" s="1">
        <v>2</v>
      </c>
      <c r="B15" s="27">
        <f>EDATE(B14,1)</f>
        <v>43110</v>
      </c>
      <c r="C15" s="8">
        <f>H14-L14</f>
        <v>3005.3799999999997</v>
      </c>
      <c r="D15" s="8">
        <v>0</v>
      </c>
      <c r="E15" s="19">
        <v>5</v>
      </c>
      <c r="F15" s="8">
        <v>18.71</v>
      </c>
      <c r="G15" s="8">
        <v>93.02</v>
      </c>
      <c r="H15" s="8">
        <f>SUM(Tabela1[[#This Row],[Coluna1]:[Coluna4]])</f>
        <v>3122.1099999999997</v>
      </c>
      <c r="I15" s="8">
        <v>112.32</v>
      </c>
      <c r="J15" s="9">
        <f>EDATE(J14,1)</f>
        <v>43110</v>
      </c>
      <c r="K15" s="10">
        <v>0.03</v>
      </c>
      <c r="L15" s="8">
        <f>Tabela1[[#This Row],[Coluna6]]</f>
        <v>112.32</v>
      </c>
      <c r="M15" s="28">
        <f>Tabela1[[#This Row],[Coluna7]]</f>
        <v>43110</v>
      </c>
      <c r="O15" s="18"/>
      <c r="P15" s="20"/>
    </row>
    <row r="16" spans="1:16" x14ac:dyDescent="0.25">
      <c r="A16" s="1">
        <v>3</v>
      </c>
      <c r="B16" s="27">
        <f t="shared" ref="B16:B53" si="0">EDATE(B15,1)</f>
        <v>43141</v>
      </c>
      <c r="C16" s="8">
        <f>H15-L15</f>
        <v>3009.7899999999995</v>
      </c>
      <c r="D16" s="8">
        <v>0</v>
      </c>
      <c r="E16" s="19">
        <v>5</v>
      </c>
      <c r="F16" s="8">
        <v>8.0500000000000007</v>
      </c>
      <c r="G16" s="8">
        <v>93.31</v>
      </c>
      <c r="H16" s="8">
        <f>SUM(Tabela1[[#This Row],[Coluna1]:[Coluna4]])</f>
        <v>3116.1499999999996</v>
      </c>
      <c r="I16" s="8">
        <v>112.32</v>
      </c>
      <c r="J16" s="9">
        <f>EDATE(J15,1)</f>
        <v>43141</v>
      </c>
      <c r="K16" s="10">
        <v>0.03</v>
      </c>
      <c r="L16" s="8">
        <f>Tabela1[[#This Row],[Coluna6]]</f>
        <v>112.32</v>
      </c>
      <c r="M16" s="28">
        <f>Tabela1[[#This Row],[Coluna7]]</f>
        <v>43141</v>
      </c>
      <c r="O16" s="18"/>
      <c r="P16" s="20"/>
    </row>
    <row r="17" spans="1:16" x14ac:dyDescent="0.25">
      <c r="A17" s="1">
        <v>4</v>
      </c>
      <c r="B17" s="27">
        <f t="shared" si="0"/>
        <v>43169</v>
      </c>
      <c r="C17" s="8">
        <f t="shared" ref="C17:C52" si="1">H16-L16</f>
        <v>3003.8299999999995</v>
      </c>
      <c r="D17" s="8">
        <v>0</v>
      </c>
      <c r="E17" s="19">
        <v>0</v>
      </c>
      <c r="F17" s="8">
        <v>7.3</v>
      </c>
      <c r="G17" s="8">
        <v>84.11</v>
      </c>
      <c r="H17" s="8">
        <f>SUM(Tabela1[[#This Row],[Coluna1]:[Coluna4]])</f>
        <v>3095.24</v>
      </c>
      <c r="I17" s="8">
        <v>112.32</v>
      </c>
      <c r="J17" s="9">
        <f t="shared" ref="J17:J26" si="2">EDATE(J16,1)</f>
        <v>43169</v>
      </c>
      <c r="K17" s="10">
        <v>0.03</v>
      </c>
      <c r="L17" s="8">
        <f>Tabela1[[#This Row],[Coluna6]]</f>
        <v>112.32</v>
      </c>
      <c r="M17" s="28">
        <f>Tabela1[[#This Row],[Coluna7]]</f>
        <v>43169</v>
      </c>
      <c r="O17" s="18"/>
      <c r="P17" s="20"/>
    </row>
    <row r="18" spans="1:16" x14ac:dyDescent="0.25">
      <c r="A18" s="1">
        <v>5</v>
      </c>
      <c r="B18" s="27">
        <f t="shared" si="0"/>
        <v>43200</v>
      </c>
      <c r="C18" s="8">
        <f t="shared" si="1"/>
        <v>2982.9199999999996</v>
      </c>
      <c r="D18" s="8">
        <v>0</v>
      </c>
      <c r="E18" s="19">
        <v>0</v>
      </c>
      <c r="F18" s="8">
        <v>7.92</v>
      </c>
      <c r="G18" s="8">
        <v>92.48</v>
      </c>
      <c r="H18" s="8">
        <f>SUM(Tabela1[[#This Row],[Coluna1]:[Coluna4]])</f>
        <v>3083.3199999999997</v>
      </c>
      <c r="I18" s="8">
        <v>112.32</v>
      </c>
      <c r="J18" s="9">
        <f t="shared" si="2"/>
        <v>43200</v>
      </c>
      <c r="K18" s="10">
        <v>0.03</v>
      </c>
      <c r="L18" s="8">
        <f>Tabela1[[#This Row],[Coluna6]]</f>
        <v>112.32</v>
      </c>
      <c r="M18" s="28">
        <f>Tabela1[[#This Row],[Coluna7]]</f>
        <v>43200</v>
      </c>
      <c r="O18" s="18"/>
      <c r="P18" s="20"/>
    </row>
    <row r="19" spans="1:16" x14ac:dyDescent="0.25">
      <c r="A19" s="1">
        <v>6</v>
      </c>
      <c r="B19" s="27">
        <f t="shared" si="0"/>
        <v>43230</v>
      </c>
      <c r="C19" s="8">
        <f t="shared" si="1"/>
        <v>2970.9999999999995</v>
      </c>
      <c r="D19" s="8">
        <v>0</v>
      </c>
      <c r="E19" s="19">
        <v>0</v>
      </c>
      <c r="F19" s="8">
        <v>7.69</v>
      </c>
      <c r="G19" s="8">
        <v>89.13</v>
      </c>
      <c r="H19" s="8">
        <f>SUM(Tabela1[[#This Row],[Coluna1]:[Coluna4]])</f>
        <v>3067.8199999999997</v>
      </c>
      <c r="I19" s="8">
        <v>112.32</v>
      </c>
      <c r="J19" s="9">
        <f t="shared" si="2"/>
        <v>43230</v>
      </c>
      <c r="K19" s="10">
        <v>0.03</v>
      </c>
      <c r="L19" s="8">
        <f>Tabela1[[#This Row],[Coluna6]]</f>
        <v>112.32</v>
      </c>
      <c r="M19" s="28">
        <f>Tabela1[[#This Row],[Coluna7]]</f>
        <v>43230</v>
      </c>
      <c r="O19" s="18"/>
      <c r="P19" s="20"/>
    </row>
    <row r="20" spans="1:16" x14ac:dyDescent="0.25">
      <c r="A20" s="1">
        <v>7</v>
      </c>
      <c r="B20" s="27">
        <f t="shared" si="0"/>
        <v>43261</v>
      </c>
      <c r="C20" s="8">
        <f t="shared" si="1"/>
        <v>2955.4999999999995</v>
      </c>
      <c r="D20" s="8">
        <v>0</v>
      </c>
      <c r="E20" s="19">
        <v>0</v>
      </c>
      <c r="F20" s="8">
        <v>7.88</v>
      </c>
      <c r="G20" s="8">
        <v>91.62</v>
      </c>
      <c r="H20" s="8">
        <f>SUM(Tabela1[[#This Row],[Coluna1]:[Coluna4]])</f>
        <v>3054.9999999999995</v>
      </c>
      <c r="I20" s="8">
        <v>112.32</v>
      </c>
      <c r="J20" s="9">
        <f t="shared" si="2"/>
        <v>43261</v>
      </c>
      <c r="K20" s="10">
        <v>0.03</v>
      </c>
      <c r="L20" s="8">
        <f>Tabela1[[#This Row],[Coluna6]]</f>
        <v>112.32</v>
      </c>
      <c r="M20" s="28">
        <f>Tabela1[[#This Row],[Coluna7]]</f>
        <v>43261</v>
      </c>
    </row>
    <row r="21" spans="1:16" x14ac:dyDescent="0.25">
      <c r="A21" s="1">
        <v>8</v>
      </c>
      <c r="B21" s="27">
        <f t="shared" si="0"/>
        <v>43291</v>
      </c>
      <c r="C21" s="8">
        <f t="shared" si="1"/>
        <v>2942.6799999999994</v>
      </c>
      <c r="D21" s="8">
        <v>0</v>
      </c>
      <c r="E21" s="19">
        <v>0</v>
      </c>
      <c r="F21" s="8">
        <v>7.62</v>
      </c>
      <c r="G21" s="8">
        <v>88.28</v>
      </c>
      <c r="H21" s="8">
        <f>SUM(Tabela1[[#This Row],[Coluna1]:[Coluna4]])</f>
        <v>3038.5799999999995</v>
      </c>
      <c r="I21" s="8">
        <v>112.32</v>
      </c>
      <c r="J21" s="9">
        <f t="shared" si="2"/>
        <v>43291</v>
      </c>
      <c r="K21" s="10">
        <v>0.03</v>
      </c>
      <c r="L21" s="8">
        <f>Tabela1[[#This Row],[Coluna6]]</f>
        <v>112.32</v>
      </c>
      <c r="M21" s="28">
        <f>Tabela1[[#This Row],[Coluna7]]</f>
        <v>43291</v>
      </c>
    </row>
    <row r="22" spans="1:16" x14ac:dyDescent="0.25">
      <c r="A22" s="1">
        <v>9</v>
      </c>
      <c r="B22" s="27">
        <f t="shared" si="0"/>
        <v>43322</v>
      </c>
      <c r="C22" s="8">
        <f t="shared" si="1"/>
        <v>2926.2599999999993</v>
      </c>
      <c r="D22" s="8">
        <v>0</v>
      </c>
      <c r="E22" s="19">
        <v>0</v>
      </c>
      <c r="F22" s="8">
        <v>7.79</v>
      </c>
      <c r="G22" s="8">
        <v>90.72</v>
      </c>
      <c r="H22" s="8">
        <f>SUM(Tabela1[[#This Row],[Coluna1]:[Coluna4]])</f>
        <v>3024.7699999999991</v>
      </c>
      <c r="I22" s="8">
        <v>112.32</v>
      </c>
      <c r="J22" s="9">
        <f>EDATE(J21,1)</f>
        <v>43322</v>
      </c>
      <c r="K22" s="10">
        <v>0.03</v>
      </c>
      <c r="L22" s="8">
        <f>Tabela1[[#This Row],[Coluna6]]</f>
        <v>112.32</v>
      </c>
      <c r="M22" s="28">
        <f>Tabela1[[#This Row],[Coluna7]]</f>
        <v>43322</v>
      </c>
    </row>
    <row r="23" spans="1:16" x14ac:dyDescent="0.25">
      <c r="A23" s="1">
        <v>10</v>
      </c>
      <c r="B23" s="27">
        <f t="shared" si="0"/>
        <v>43353</v>
      </c>
      <c r="C23" s="8">
        <f t="shared" si="1"/>
        <v>2912.4499999999989</v>
      </c>
      <c r="D23" s="8">
        <v>0</v>
      </c>
      <c r="E23" s="19">
        <v>0</v>
      </c>
      <c r="F23" s="8">
        <v>7.77</v>
      </c>
      <c r="G23" s="8">
        <v>90.29</v>
      </c>
      <c r="H23" s="8">
        <f>SUM(Tabela1[[#This Row],[Coluna1]:[Coluna4]])</f>
        <v>3010.5099999999989</v>
      </c>
      <c r="I23" s="8">
        <v>112.32</v>
      </c>
      <c r="J23" s="9">
        <f t="shared" si="2"/>
        <v>43353</v>
      </c>
      <c r="K23" s="10">
        <v>0.03</v>
      </c>
      <c r="L23" s="8">
        <f>Tabela1[[#This Row],[Coluna6]]</f>
        <v>112.32</v>
      </c>
      <c r="M23" s="28">
        <f>Tabela1[[#This Row],[Coluna7]]</f>
        <v>43353</v>
      </c>
    </row>
    <row r="24" spans="1:16" x14ac:dyDescent="0.25">
      <c r="A24" s="1">
        <v>11</v>
      </c>
      <c r="B24" s="27">
        <f t="shared" si="0"/>
        <v>43383</v>
      </c>
      <c r="C24" s="8">
        <f>H23-L23</f>
        <v>2898.1899999999987</v>
      </c>
      <c r="D24" s="8">
        <v>0</v>
      </c>
      <c r="E24" s="19">
        <v>0</v>
      </c>
      <c r="F24" s="8">
        <v>7.5</v>
      </c>
      <c r="G24" s="8">
        <v>86.95</v>
      </c>
      <c r="H24" s="8">
        <f>SUM(Tabela1[[#This Row],[Coluna1]:[Coluna4]])</f>
        <v>2992.6399999999985</v>
      </c>
      <c r="I24" s="8">
        <v>112.32</v>
      </c>
      <c r="J24" s="9">
        <f t="shared" si="2"/>
        <v>43383</v>
      </c>
      <c r="K24" s="10">
        <v>0.03</v>
      </c>
      <c r="L24" s="8">
        <f>Tabela1[[#This Row],[Coluna6]]</f>
        <v>112.32</v>
      </c>
      <c r="M24" s="28">
        <f>Tabela1[[#This Row],[Coluna7]]</f>
        <v>43383</v>
      </c>
    </row>
    <row r="25" spans="1:16" x14ac:dyDescent="0.25">
      <c r="A25" s="1">
        <v>12</v>
      </c>
      <c r="B25" s="27">
        <f t="shared" si="0"/>
        <v>43414</v>
      </c>
      <c r="C25" s="8">
        <f>H24-L24</f>
        <v>2880.3199999999983</v>
      </c>
      <c r="D25" s="8">
        <v>0</v>
      </c>
      <c r="E25" s="19">
        <v>0</v>
      </c>
      <c r="F25" s="8">
        <v>7.68</v>
      </c>
      <c r="G25" s="8">
        <v>89.29</v>
      </c>
      <c r="H25" s="8">
        <f>SUM(Tabela1[[#This Row],[Coluna1]:[Coluna4]])</f>
        <v>2977.2899999999981</v>
      </c>
      <c r="I25" s="8">
        <v>112.32</v>
      </c>
      <c r="J25" s="9">
        <f t="shared" si="2"/>
        <v>43414</v>
      </c>
      <c r="K25" s="10">
        <v>0.03</v>
      </c>
      <c r="L25" s="8">
        <f>Tabela1[[#This Row],[Coluna6]]</f>
        <v>112.32</v>
      </c>
      <c r="M25" s="28">
        <f>Tabela1[[#This Row],[Coluna7]]</f>
        <v>43414</v>
      </c>
    </row>
    <row r="26" spans="1:16" x14ac:dyDescent="0.25">
      <c r="A26" s="1">
        <v>13</v>
      </c>
      <c r="B26" s="27">
        <f t="shared" si="0"/>
        <v>43444</v>
      </c>
      <c r="C26" s="8">
        <f>H25-L25</f>
        <v>2864.969999999998</v>
      </c>
      <c r="D26" s="8">
        <v>0</v>
      </c>
      <c r="E26" s="19">
        <v>145.58000000000001</v>
      </c>
      <c r="F26" s="8">
        <v>7.42</v>
      </c>
      <c r="G26" s="8">
        <v>85.95</v>
      </c>
      <c r="H26" s="8">
        <f>SUM(Tabela1[[#This Row],[Coluna1]:[Coluna4]])</f>
        <v>3103.9199999999978</v>
      </c>
      <c r="I26" s="8">
        <v>112.32</v>
      </c>
      <c r="J26" s="9">
        <f t="shared" si="2"/>
        <v>43444</v>
      </c>
      <c r="K26" s="10">
        <v>0.03</v>
      </c>
      <c r="L26" s="8">
        <f>Tabela1[[#This Row],[Coluna6]]</f>
        <v>112.32</v>
      </c>
      <c r="M26" s="28">
        <f>Tabela1[[#This Row],[Coluna7]]</f>
        <v>43444</v>
      </c>
    </row>
    <row r="27" spans="1:16" x14ac:dyDescent="0.25">
      <c r="A27" s="1">
        <v>14</v>
      </c>
      <c r="B27" s="27">
        <f t="shared" si="0"/>
        <v>43475</v>
      </c>
      <c r="C27" s="8">
        <f>H26-L26</f>
        <v>2991.5999999999976</v>
      </c>
      <c r="D27" s="8">
        <v>0</v>
      </c>
      <c r="E27" s="19">
        <v>0</v>
      </c>
      <c r="F27" s="8">
        <v>7.58</v>
      </c>
      <c r="G27" s="8">
        <v>92.74</v>
      </c>
      <c r="H27" s="8">
        <f>SUM(Tabela1[[#This Row],[Coluna1]:[Coluna4]])</f>
        <v>3091.9199999999973</v>
      </c>
      <c r="I27" s="8">
        <v>112.32</v>
      </c>
      <c r="J27" s="9">
        <f t="shared" ref="J27:J53" si="3">EDATE(J26,1)</f>
        <v>43475</v>
      </c>
      <c r="K27" s="10">
        <v>0.03</v>
      </c>
      <c r="L27" s="8">
        <f>Tabela1[[#This Row],[Coluna6]]</f>
        <v>112.32</v>
      </c>
      <c r="M27" s="28">
        <f>Tabela1[[#This Row],[Coluna7]]</f>
        <v>43475</v>
      </c>
    </row>
    <row r="28" spans="1:16" x14ac:dyDescent="0.25">
      <c r="A28" s="1">
        <v>15</v>
      </c>
      <c r="B28" s="27">
        <f t="shared" si="0"/>
        <v>43506</v>
      </c>
      <c r="C28" s="8">
        <f>H27-L27</f>
        <v>2979.5999999999972</v>
      </c>
      <c r="D28" s="8">
        <v>0</v>
      </c>
      <c r="E28" s="19">
        <v>0</v>
      </c>
      <c r="F28" s="8">
        <v>7.85</v>
      </c>
      <c r="G28" s="8">
        <v>92.37</v>
      </c>
      <c r="H28" s="8">
        <f>SUM(Tabela1[[#This Row],[Coluna1]:[Coluna4]])</f>
        <v>3079.819999999997</v>
      </c>
      <c r="I28" s="8">
        <v>112.32</v>
      </c>
      <c r="J28" s="9">
        <f t="shared" si="3"/>
        <v>43506</v>
      </c>
      <c r="K28" s="10">
        <v>0.03</v>
      </c>
      <c r="L28" s="8">
        <f>Tabela1[[#This Row],[Coluna6]]</f>
        <v>112.32</v>
      </c>
      <c r="M28" s="28">
        <f>Tabela1[[#This Row],[Coluna7]]</f>
        <v>43506</v>
      </c>
    </row>
    <row r="29" spans="1:16" x14ac:dyDescent="0.25">
      <c r="A29" s="1">
        <v>16</v>
      </c>
      <c r="B29" s="27">
        <f t="shared" si="0"/>
        <v>43534</v>
      </c>
      <c r="C29" s="8">
        <f t="shared" si="1"/>
        <v>2967.4999999999968</v>
      </c>
      <c r="D29" s="8">
        <v>0</v>
      </c>
      <c r="E29" s="19">
        <v>0</v>
      </c>
      <c r="F29" s="8">
        <v>7.2</v>
      </c>
      <c r="G29" s="8">
        <v>83.09</v>
      </c>
      <c r="H29" s="8">
        <f>SUM(Tabela1[[#This Row],[Coluna1]:[Coluna4]])</f>
        <v>3057.7899999999968</v>
      </c>
      <c r="I29" s="8">
        <v>112.32</v>
      </c>
      <c r="J29" s="9">
        <f t="shared" si="3"/>
        <v>43534</v>
      </c>
      <c r="K29" s="10">
        <v>0.03</v>
      </c>
      <c r="L29" s="8">
        <f>Tabela1[[#This Row],[Coluna6]]</f>
        <v>112.32</v>
      </c>
      <c r="M29" s="28">
        <f>Tabela1[[#This Row],[Coluna7]]</f>
        <v>43534</v>
      </c>
      <c r="O29" s="5"/>
    </row>
    <row r="30" spans="1:16" x14ac:dyDescent="0.25">
      <c r="A30" s="1">
        <v>17</v>
      </c>
      <c r="B30" s="27">
        <f t="shared" si="0"/>
        <v>43565</v>
      </c>
      <c r="C30" s="8">
        <f t="shared" si="1"/>
        <v>2945.4699999999966</v>
      </c>
      <c r="D30" s="8">
        <v>0</v>
      </c>
      <c r="E30" s="19">
        <v>0</v>
      </c>
      <c r="F30" s="8">
        <v>7.49</v>
      </c>
      <c r="G30" s="8">
        <v>91.66</v>
      </c>
      <c r="H30" s="8">
        <f>SUM(Tabela1[[#This Row],[Coluna1]:[Coluna4]])</f>
        <v>3044.6199999999963</v>
      </c>
      <c r="I30" s="8">
        <v>112.32</v>
      </c>
      <c r="J30" s="9">
        <f t="shared" si="3"/>
        <v>43565</v>
      </c>
      <c r="K30" s="10">
        <v>0.03</v>
      </c>
      <c r="L30" s="8">
        <f>Tabela1[[#This Row],[Coluna6]]</f>
        <v>112.32</v>
      </c>
      <c r="M30" s="28">
        <f>Tabela1[[#This Row],[Coluna7]]</f>
        <v>43565</v>
      </c>
      <c r="O30" s="5"/>
    </row>
    <row r="31" spans="1:16" x14ac:dyDescent="0.25">
      <c r="A31" s="1">
        <v>18</v>
      </c>
      <c r="B31" s="27">
        <f t="shared" si="0"/>
        <v>43595</v>
      </c>
      <c r="C31" s="8">
        <f t="shared" si="1"/>
        <v>2932.2999999999961</v>
      </c>
      <c r="D31" s="8">
        <v>0</v>
      </c>
      <c r="E31" s="19">
        <v>0</v>
      </c>
      <c r="F31" s="8">
        <v>7.6</v>
      </c>
      <c r="G31" s="8">
        <v>87.97</v>
      </c>
      <c r="H31" s="8">
        <f>SUM(Tabela1[[#This Row],[Coluna1]:[Coluna4]])</f>
        <v>3027.8699999999958</v>
      </c>
      <c r="I31" s="8">
        <v>112.32</v>
      </c>
      <c r="J31" s="9">
        <f t="shared" si="3"/>
        <v>43595</v>
      </c>
      <c r="K31" s="10">
        <v>0.03</v>
      </c>
      <c r="L31" s="8">
        <f>Tabela1[[#This Row],[Coluna6]]</f>
        <v>112.32</v>
      </c>
      <c r="M31" s="28">
        <f>Tabela1[[#This Row],[Coluna7]]</f>
        <v>43595</v>
      </c>
      <c r="O31" s="5"/>
    </row>
    <row r="32" spans="1:16" x14ac:dyDescent="0.25">
      <c r="A32" s="1">
        <v>19</v>
      </c>
      <c r="B32" s="27">
        <f t="shared" si="0"/>
        <v>43626</v>
      </c>
      <c r="C32" s="8">
        <f t="shared" si="1"/>
        <v>2915.5499999999956</v>
      </c>
      <c r="D32" s="8">
        <v>0</v>
      </c>
      <c r="E32" s="19">
        <v>0</v>
      </c>
      <c r="F32" s="8">
        <v>7.77</v>
      </c>
      <c r="G32" s="8">
        <v>90.38</v>
      </c>
      <c r="H32" s="8">
        <f>SUM(Tabela1[[#This Row],[Coluna1]:[Coluna4]])</f>
        <v>3013.6999999999957</v>
      </c>
      <c r="I32" s="8">
        <v>112.32</v>
      </c>
      <c r="J32" s="9">
        <f t="shared" si="3"/>
        <v>43626</v>
      </c>
      <c r="K32" s="10">
        <v>0.03</v>
      </c>
      <c r="L32" s="8">
        <f>Tabela1[[#This Row],[Coluna6]]</f>
        <v>112.32</v>
      </c>
      <c r="M32" s="28">
        <f>Tabela1[[#This Row],[Coluna7]]</f>
        <v>43626</v>
      </c>
      <c r="O32" s="57"/>
    </row>
    <row r="33" spans="1:13" x14ac:dyDescent="0.25">
      <c r="A33" s="1">
        <v>20</v>
      </c>
      <c r="B33" s="27">
        <f t="shared" si="0"/>
        <v>43656</v>
      </c>
      <c r="C33" s="8">
        <f>H32-L32</f>
        <v>2901.3799999999956</v>
      </c>
      <c r="D33" s="8">
        <v>0</v>
      </c>
      <c r="E33" s="19">
        <v>0</v>
      </c>
      <c r="F33" s="8">
        <v>7.51</v>
      </c>
      <c r="G33" s="8">
        <v>87.04</v>
      </c>
      <c r="H33" s="8">
        <f>SUM(Tabela1[[#This Row],[Coluna1]:[Coluna4]])</f>
        <v>2995.9299999999957</v>
      </c>
      <c r="I33" s="8">
        <v>112.32</v>
      </c>
      <c r="J33" s="9">
        <f t="shared" si="3"/>
        <v>43656</v>
      </c>
      <c r="K33" s="10">
        <v>0.03</v>
      </c>
      <c r="L33" s="8">
        <f>Tabela1[[#This Row],[Coluna6]]</f>
        <v>112.32</v>
      </c>
      <c r="M33" s="28">
        <f>Tabela1[[#This Row],[Coluna7]]</f>
        <v>43656</v>
      </c>
    </row>
    <row r="34" spans="1:13" x14ac:dyDescent="0.25">
      <c r="A34" s="1">
        <v>21</v>
      </c>
      <c r="B34" s="27">
        <f t="shared" si="0"/>
        <v>43687</v>
      </c>
      <c r="C34" s="8">
        <f>H33-L33</f>
        <v>2883.6099999999956</v>
      </c>
      <c r="D34" s="8">
        <v>0</v>
      </c>
      <c r="E34" s="19">
        <v>0</v>
      </c>
      <c r="F34" s="8">
        <v>7.69</v>
      </c>
      <c r="G34" s="8">
        <v>89.39</v>
      </c>
      <c r="H34" s="8">
        <f>SUM(Tabela1[[#This Row],[Coluna1]:[Coluna4]])</f>
        <v>2980.6899999999955</v>
      </c>
      <c r="I34" s="8">
        <v>112.32</v>
      </c>
      <c r="J34" s="9">
        <f t="shared" si="3"/>
        <v>43687</v>
      </c>
      <c r="K34" s="10">
        <v>0.03</v>
      </c>
      <c r="L34" s="8">
        <f>Tabela1[[#This Row],[Coluna6]]</f>
        <v>112.32</v>
      </c>
      <c r="M34" s="28">
        <f>Tabela1[[#This Row],[Coluna7]]</f>
        <v>43687</v>
      </c>
    </row>
    <row r="35" spans="1:13" x14ac:dyDescent="0.25">
      <c r="A35" s="1">
        <v>22</v>
      </c>
      <c r="B35" s="27">
        <f t="shared" si="0"/>
        <v>43718</v>
      </c>
      <c r="C35" s="8">
        <f t="shared" si="1"/>
        <v>2868.3699999999953</v>
      </c>
      <c r="D35" s="8">
        <v>0</v>
      </c>
      <c r="E35" s="19">
        <v>0</v>
      </c>
      <c r="F35" s="8">
        <v>7.66</v>
      </c>
      <c r="G35" s="8">
        <v>88.92</v>
      </c>
      <c r="H35" s="8">
        <f>SUM(Tabela1[[#This Row],[Coluna1]:[Coluna4]])</f>
        <v>2964.9499999999953</v>
      </c>
      <c r="I35" s="8">
        <v>112.32</v>
      </c>
      <c r="J35" s="9">
        <f t="shared" si="3"/>
        <v>43718</v>
      </c>
      <c r="K35" s="10">
        <v>0.03</v>
      </c>
      <c r="L35" s="8">
        <f>Tabela1[[#This Row],[Coluna6]]</f>
        <v>112.32</v>
      </c>
      <c r="M35" s="28">
        <f>Tabela1[[#This Row],[Coluna7]]</f>
        <v>43718</v>
      </c>
    </row>
    <row r="36" spans="1:13" x14ac:dyDescent="0.25">
      <c r="A36" s="1">
        <v>23</v>
      </c>
      <c r="B36" s="27">
        <f t="shared" si="0"/>
        <v>43748</v>
      </c>
      <c r="C36" s="8">
        <f t="shared" si="1"/>
        <v>2852.6299999999951</v>
      </c>
      <c r="D36" s="8">
        <v>0</v>
      </c>
      <c r="E36" s="19">
        <v>0</v>
      </c>
      <c r="F36" s="8">
        <v>7.39</v>
      </c>
      <c r="G36" s="8">
        <v>85.58</v>
      </c>
      <c r="H36" s="8">
        <f>SUM(Tabela1[[#This Row],[Coluna1]:[Coluna4]])</f>
        <v>2945.5999999999949</v>
      </c>
      <c r="I36" s="8">
        <v>112.32</v>
      </c>
      <c r="J36" s="9">
        <f t="shared" si="3"/>
        <v>43748</v>
      </c>
      <c r="K36" s="10">
        <v>0.03</v>
      </c>
      <c r="L36" s="8">
        <f>Tabela1[[#This Row],[Coluna6]]</f>
        <v>112.32</v>
      </c>
      <c r="M36" s="28">
        <f>Tabela1[[#This Row],[Coluna7]]</f>
        <v>43748</v>
      </c>
    </row>
    <row r="37" spans="1:13" x14ac:dyDescent="0.25">
      <c r="A37" s="1">
        <v>24</v>
      </c>
      <c r="B37" s="27">
        <f t="shared" si="0"/>
        <v>43779</v>
      </c>
      <c r="C37" s="8">
        <f t="shared" si="1"/>
        <v>2833.2799999999947</v>
      </c>
      <c r="D37" s="8">
        <v>0</v>
      </c>
      <c r="E37" s="19">
        <v>0</v>
      </c>
      <c r="F37" s="8">
        <v>7.55</v>
      </c>
      <c r="G37" s="8">
        <v>87.83</v>
      </c>
      <c r="H37" s="8">
        <f>SUM(Tabela1[[#This Row],[Coluna1]:[Coluna4]])</f>
        <v>2928.6599999999949</v>
      </c>
      <c r="I37" s="8">
        <v>112.32</v>
      </c>
      <c r="J37" s="9">
        <f t="shared" si="3"/>
        <v>43779</v>
      </c>
      <c r="K37" s="10">
        <v>0.03</v>
      </c>
      <c r="L37" s="8">
        <f>Tabela1[[#This Row],[Coluna6]]</f>
        <v>112.32</v>
      </c>
      <c r="M37" s="28">
        <f>Tabela1[[#This Row],[Coluna7]]</f>
        <v>43779</v>
      </c>
    </row>
    <row r="38" spans="1:13" x14ac:dyDescent="0.25">
      <c r="A38" s="1">
        <v>25</v>
      </c>
      <c r="B38" s="27">
        <f t="shared" si="0"/>
        <v>43809</v>
      </c>
      <c r="C38" s="8">
        <f t="shared" si="1"/>
        <v>2816.3399999999947</v>
      </c>
      <c r="D38" s="8">
        <v>0</v>
      </c>
      <c r="E38" s="19">
        <v>160.18</v>
      </c>
      <c r="F38" s="8">
        <v>7.29</v>
      </c>
      <c r="G38" s="8">
        <v>84.49</v>
      </c>
      <c r="H38" s="8">
        <f>SUM(Tabela1[[#This Row],[Coluna1]:[Coluna4]])</f>
        <v>3068.2999999999943</v>
      </c>
      <c r="I38" s="8">
        <v>112.32</v>
      </c>
      <c r="J38" s="9">
        <f t="shared" si="3"/>
        <v>43809</v>
      </c>
      <c r="K38" s="10">
        <v>0.03</v>
      </c>
      <c r="L38" s="8">
        <f>Tabela1[[#This Row],[Coluna6]]</f>
        <v>112.32</v>
      </c>
      <c r="M38" s="28">
        <f>Tabela1[[#This Row],[Coluna7]]</f>
        <v>43809</v>
      </c>
    </row>
    <row r="39" spans="1:13" x14ac:dyDescent="0.25">
      <c r="A39" s="1">
        <v>26</v>
      </c>
      <c r="B39" s="27">
        <f t="shared" si="0"/>
        <v>43840</v>
      </c>
      <c r="C39" s="8">
        <f>H38-L38</f>
        <v>2955.9799999999941</v>
      </c>
      <c r="D39" s="8">
        <v>0</v>
      </c>
      <c r="E39" s="19">
        <v>0</v>
      </c>
      <c r="F39" s="8">
        <v>8.48</v>
      </c>
      <c r="G39" s="8">
        <v>91.64</v>
      </c>
      <c r="H39" s="8">
        <f>SUM(Tabela1[[#This Row],[Coluna1]:[Coluna4]])</f>
        <v>3056.099999999994</v>
      </c>
      <c r="I39" s="8">
        <v>112.32</v>
      </c>
      <c r="J39" s="9">
        <f t="shared" si="3"/>
        <v>43840</v>
      </c>
      <c r="K39" s="10">
        <v>0.03</v>
      </c>
      <c r="L39" s="8">
        <f>Tabela1[[#This Row],[Coluna6]]</f>
        <v>112.32</v>
      </c>
      <c r="M39" s="28">
        <f>Tabela1[[#This Row],[Coluna7]]</f>
        <v>43840</v>
      </c>
    </row>
    <row r="40" spans="1:13" x14ac:dyDescent="0.25">
      <c r="A40" s="1">
        <v>27</v>
      </c>
      <c r="B40" s="27">
        <f t="shared" si="0"/>
        <v>43871</v>
      </c>
      <c r="C40" s="8">
        <f t="shared" si="1"/>
        <v>2943.7799999999938</v>
      </c>
      <c r="D40" s="8">
        <v>0</v>
      </c>
      <c r="E40" s="19">
        <v>0</v>
      </c>
      <c r="F40" s="8">
        <v>7.87</v>
      </c>
      <c r="G40" s="8">
        <v>91.26</v>
      </c>
      <c r="H40" s="8">
        <f>SUM(Tabela1[[#This Row],[Coluna1]:[Coluna4]])</f>
        <v>3042.9099999999939</v>
      </c>
      <c r="I40" s="8">
        <v>112.32</v>
      </c>
      <c r="J40" s="9">
        <f t="shared" si="3"/>
        <v>43871</v>
      </c>
      <c r="K40" s="10">
        <v>0.03</v>
      </c>
      <c r="L40" s="8">
        <f>Tabela1[[#This Row],[Coluna6]]</f>
        <v>112.32</v>
      </c>
      <c r="M40" s="28">
        <f>Tabela1[[#This Row],[Coluna7]]</f>
        <v>43871</v>
      </c>
    </row>
    <row r="41" spans="1:13" x14ac:dyDescent="0.25">
      <c r="A41" s="1">
        <v>28</v>
      </c>
      <c r="B41" s="27">
        <f t="shared" si="0"/>
        <v>43900</v>
      </c>
      <c r="C41" s="8">
        <f t="shared" si="1"/>
        <v>2930.5899999999938</v>
      </c>
      <c r="D41" s="8">
        <v>0</v>
      </c>
      <c r="E41" s="19">
        <v>0</v>
      </c>
      <c r="F41" s="8">
        <v>7.35</v>
      </c>
      <c r="G41" s="8">
        <v>84.98</v>
      </c>
      <c r="H41" s="8">
        <f>SUM(Tabela1[[#This Row],[Coluna1]:[Coluna4]])</f>
        <v>3022.9199999999937</v>
      </c>
      <c r="I41" s="8">
        <v>112.32</v>
      </c>
      <c r="J41" s="9">
        <f t="shared" si="3"/>
        <v>43900</v>
      </c>
      <c r="K41" s="10">
        <v>0.03</v>
      </c>
      <c r="L41" s="8">
        <f>Tabela1[[#This Row],[Coluna6]]</f>
        <v>112.32</v>
      </c>
      <c r="M41" s="28">
        <f>Tabela1[[#This Row],[Coluna7]]</f>
        <v>43900</v>
      </c>
    </row>
    <row r="42" spans="1:13" x14ac:dyDescent="0.25">
      <c r="A42" s="1">
        <v>29</v>
      </c>
      <c r="B42" s="27">
        <f t="shared" si="0"/>
        <v>43931</v>
      </c>
      <c r="C42" s="8">
        <f t="shared" si="1"/>
        <v>2910.5999999999935</v>
      </c>
      <c r="D42" s="8">
        <v>0</v>
      </c>
      <c r="E42" s="19">
        <v>0</v>
      </c>
      <c r="F42" s="8">
        <v>7.76</v>
      </c>
      <c r="G42" s="8">
        <v>90.23</v>
      </c>
      <c r="H42" s="8">
        <f>SUM(Tabela1[[#This Row],[Coluna1]:[Coluna4]])</f>
        <v>3008.5899999999938</v>
      </c>
      <c r="I42" s="8">
        <v>112.32</v>
      </c>
      <c r="J42" s="9">
        <f t="shared" si="3"/>
        <v>43931</v>
      </c>
      <c r="K42" s="10">
        <v>2.7E-2</v>
      </c>
      <c r="L42" s="8">
        <f>Tabela1[[#This Row],[Coluna6]]</f>
        <v>112.32</v>
      </c>
      <c r="M42" s="28">
        <f>Tabela1[[#This Row],[Coluna7]]</f>
        <v>43931</v>
      </c>
    </row>
    <row r="43" spans="1:13" x14ac:dyDescent="0.25">
      <c r="A43" s="1">
        <v>30</v>
      </c>
      <c r="B43" s="27">
        <f t="shared" si="0"/>
        <v>43961</v>
      </c>
      <c r="C43" s="8">
        <f t="shared" si="1"/>
        <v>2896.2699999999936</v>
      </c>
      <c r="D43" s="8">
        <v>0</v>
      </c>
      <c r="E43" s="19">
        <v>0</v>
      </c>
      <c r="F43" s="8">
        <v>-1.91</v>
      </c>
      <c r="G43" s="8">
        <v>78.150000000000006</v>
      </c>
      <c r="H43" s="8">
        <f>SUM(Tabela1[[#This Row],[Coluna1]:[Coluna4]])</f>
        <v>2972.5099999999939</v>
      </c>
      <c r="I43" s="8">
        <v>112.32</v>
      </c>
      <c r="J43" s="9">
        <f t="shared" si="3"/>
        <v>43961</v>
      </c>
      <c r="K43" s="10">
        <v>2.7E-2</v>
      </c>
      <c r="L43" s="8">
        <f>Tabela1[[#This Row],[Coluna6]]</f>
        <v>112.32</v>
      </c>
      <c r="M43" s="28">
        <f>Tabela1[[#This Row],[Coluna7]]</f>
        <v>43961</v>
      </c>
    </row>
    <row r="44" spans="1:13" x14ac:dyDescent="0.25">
      <c r="A44" s="1">
        <v>31</v>
      </c>
      <c r="B44" s="27">
        <f t="shared" si="0"/>
        <v>43992</v>
      </c>
      <c r="C44" s="8">
        <f t="shared" si="1"/>
        <v>2860.1899999999937</v>
      </c>
      <c r="D44" s="8">
        <v>0</v>
      </c>
      <c r="E44" s="19">
        <v>0</v>
      </c>
      <c r="F44" s="8">
        <v>0</v>
      </c>
      <c r="G44" s="8">
        <v>79.8</v>
      </c>
      <c r="H44" s="8">
        <f>SUM(Tabela1[[#This Row],[Coluna1]:[Coluna4]])</f>
        <v>2939.9899999999939</v>
      </c>
      <c r="I44" s="8">
        <v>112.32</v>
      </c>
      <c r="J44" s="9">
        <f t="shared" si="3"/>
        <v>43992</v>
      </c>
      <c r="K44" s="10">
        <v>2.7E-2</v>
      </c>
      <c r="L44" s="8">
        <f>Tabela1[[#This Row],[Coluna6]]</f>
        <v>112.32</v>
      </c>
      <c r="M44" s="28">
        <f>Tabela1[[#This Row],[Coluna7]]</f>
        <v>43992</v>
      </c>
    </row>
    <row r="45" spans="1:13" x14ac:dyDescent="0.25">
      <c r="A45" s="1">
        <v>32</v>
      </c>
      <c r="B45" s="27">
        <f t="shared" si="0"/>
        <v>44022</v>
      </c>
      <c r="C45" s="8">
        <f t="shared" si="1"/>
        <v>2827.6699999999937</v>
      </c>
      <c r="D45" s="8">
        <v>0</v>
      </c>
      <c r="E45" s="19">
        <v>0</v>
      </c>
      <c r="F45" s="8">
        <v>0</v>
      </c>
      <c r="G45" s="8">
        <v>76.349999999999994</v>
      </c>
      <c r="H45" s="8">
        <f>SUM(Tabela1[[#This Row],[Coluna1]:[Coluna4]])</f>
        <v>2904.0199999999936</v>
      </c>
      <c r="I45" s="8">
        <v>112.32</v>
      </c>
      <c r="J45" s="9">
        <f t="shared" si="3"/>
        <v>44022</v>
      </c>
      <c r="K45" s="10">
        <v>2.7E-2</v>
      </c>
      <c r="L45" s="8">
        <f>Tabela1[[#This Row],[Coluna6]]</f>
        <v>112.32</v>
      </c>
      <c r="M45" s="28">
        <f>Tabela1[[#This Row],[Coluna7]]</f>
        <v>44022</v>
      </c>
    </row>
    <row r="46" spans="1:13" x14ac:dyDescent="0.25">
      <c r="A46" s="1">
        <v>33</v>
      </c>
      <c r="B46" s="27">
        <f t="shared" si="0"/>
        <v>44053</v>
      </c>
      <c r="C46" s="8">
        <f t="shared" si="1"/>
        <v>2791.6999999999935</v>
      </c>
      <c r="D46" s="8">
        <v>0</v>
      </c>
      <c r="E46" s="19">
        <v>0</v>
      </c>
      <c r="F46" s="8">
        <v>0</v>
      </c>
      <c r="G46" s="8">
        <v>77.89</v>
      </c>
      <c r="H46" s="8">
        <f>SUM(Tabela1[[#This Row],[Coluna1]:[Coluna4]])</f>
        <v>2869.5899999999933</v>
      </c>
      <c r="I46" s="8">
        <v>112.32</v>
      </c>
      <c r="J46" s="9">
        <f t="shared" si="3"/>
        <v>44053</v>
      </c>
      <c r="K46" s="10">
        <v>2.7E-2</v>
      </c>
      <c r="L46" s="8">
        <f>Tabela1[[#This Row],[Coluna6]]</f>
        <v>112.32</v>
      </c>
      <c r="M46" s="28">
        <f>Tabela1[[#This Row],[Coluna7]]</f>
        <v>44053</v>
      </c>
    </row>
    <row r="47" spans="1:13" x14ac:dyDescent="0.25">
      <c r="A47" s="1">
        <v>34</v>
      </c>
      <c r="B47" s="27">
        <f t="shared" si="0"/>
        <v>44084</v>
      </c>
      <c r="C47" s="8">
        <f t="shared" si="1"/>
        <v>2757.2699999999932</v>
      </c>
      <c r="D47" s="8">
        <v>0</v>
      </c>
      <c r="E47" s="19">
        <v>0</v>
      </c>
      <c r="F47" s="8">
        <v>0</v>
      </c>
      <c r="G47" s="8">
        <v>76.930000000000007</v>
      </c>
      <c r="H47" s="8">
        <f>SUM(Tabela1[[#This Row],[Coluna1]:[Coluna4]])</f>
        <v>2834.199999999993</v>
      </c>
      <c r="I47" s="8">
        <v>112.32</v>
      </c>
      <c r="J47" s="9">
        <f t="shared" si="3"/>
        <v>44084</v>
      </c>
      <c r="K47" s="10">
        <v>2.7E-2</v>
      </c>
      <c r="L47" s="8">
        <f>Tabela1[[#This Row],[Coluna6]]</f>
        <v>112.32</v>
      </c>
      <c r="M47" s="28">
        <f>Tabela1[[#This Row],[Coluna7]]</f>
        <v>44084</v>
      </c>
    </row>
    <row r="48" spans="1:13" x14ac:dyDescent="0.25">
      <c r="A48" s="1">
        <v>35</v>
      </c>
      <c r="B48" s="27">
        <f t="shared" si="0"/>
        <v>44114</v>
      </c>
      <c r="C48" s="8">
        <f t="shared" si="1"/>
        <v>2721.8799999999928</v>
      </c>
      <c r="D48" s="8">
        <v>0</v>
      </c>
      <c r="E48" s="19">
        <v>0</v>
      </c>
      <c r="F48" s="8">
        <v>0</v>
      </c>
      <c r="G48" s="8">
        <v>73.489999999999995</v>
      </c>
      <c r="H48" s="8">
        <f>SUM(Tabela1[[#This Row],[Coluna1]:[Coluna4]])</f>
        <v>2795.3699999999926</v>
      </c>
      <c r="I48" s="8">
        <v>112.32</v>
      </c>
      <c r="J48" s="9">
        <f t="shared" si="3"/>
        <v>44114</v>
      </c>
      <c r="K48" s="10">
        <v>2.7E-2</v>
      </c>
      <c r="L48" s="8">
        <f>Tabela1[[#This Row],[Coluna6]]</f>
        <v>112.32</v>
      </c>
      <c r="M48" s="28">
        <f>Tabela1[[#This Row],[Coluna7]]</f>
        <v>44114</v>
      </c>
    </row>
    <row r="49" spans="1:13" x14ac:dyDescent="0.25">
      <c r="A49" s="1">
        <v>36</v>
      </c>
      <c r="B49" s="27">
        <f t="shared" si="0"/>
        <v>44145</v>
      </c>
      <c r="C49" s="8">
        <f t="shared" si="1"/>
        <v>2683.0499999999925</v>
      </c>
      <c r="D49" s="8">
        <v>0</v>
      </c>
      <c r="E49" s="19">
        <v>0</v>
      </c>
      <c r="F49" s="8">
        <v>0</v>
      </c>
      <c r="G49" s="8">
        <v>74.87</v>
      </c>
      <c r="H49" s="8">
        <f>SUM(Tabela1[[#This Row],[Coluna1]:[Coluna4]])</f>
        <v>2757.9199999999923</v>
      </c>
      <c r="I49" s="8">
        <v>112.32</v>
      </c>
      <c r="J49" s="9">
        <f t="shared" si="3"/>
        <v>44145</v>
      </c>
      <c r="K49" s="10">
        <v>2.7E-2</v>
      </c>
      <c r="L49" s="8">
        <f>Tabela1[[#This Row],[Coluna6]]</f>
        <v>112.32</v>
      </c>
      <c r="M49" s="28">
        <f>Tabela1[[#This Row],[Coluna7]]</f>
        <v>44145</v>
      </c>
    </row>
    <row r="50" spans="1:13" x14ac:dyDescent="0.25">
      <c r="A50" s="1">
        <v>37</v>
      </c>
      <c r="B50" s="27">
        <f t="shared" si="0"/>
        <v>44175</v>
      </c>
      <c r="C50" s="8">
        <f t="shared" si="1"/>
        <v>2645.5999999999922</v>
      </c>
      <c r="D50" s="8">
        <v>0</v>
      </c>
      <c r="E50" s="19">
        <v>180.58</v>
      </c>
      <c r="F50" s="8">
        <v>0</v>
      </c>
      <c r="G50" s="8">
        <v>71.430000000000007</v>
      </c>
      <c r="H50" s="8">
        <f>SUM(Tabela1[[#This Row],[Coluna1]:[Coluna4]])</f>
        <v>2897.6099999999919</v>
      </c>
      <c r="I50" s="8">
        <v>112.32</v>
      </c>
      <c r="J50" s="9">
        <f t="shared" si="3"/>
        <v>44175</v>
      </c>
      <c r="K50" s="10">
        <v>2.7E-2</v>
      </c>
      <c r="L50" s="8">
        <f>Tabela1[[#This Row],[Coluna6]]</f>
        <v>112.32</v>
      </c>
      <c r="M50" s="28">
        <f>Tabela1[[#This Row],[Coluna7]]</f>
        <v>44175</v>
      </c>
    </row>
    <row r="51" spans="1:13" x14ac:dyDescent="0.25">
      <c r="A51" s="1">
        <v>38</v>
      </c>
      <c r="B51" s="27">
        <f t="shared" si="0"/>
        <v>44206</v>
      </c>
      <c r="C51" s="8">
        <f t="shared" si="1"/>
        <v>2785.2899999999918</v>
      </c>
      <c r="D51" s="8">
        <v>0</v>
      </c>
      <c r="E51" s="19">
        <v>0</v>
      </c>
      <c r="F51" s="8">
        <f>2.11+2.82</f>
        <v>4.93</v>
      </c>
      <c r="G51" s="8">
        <v>77.709999999999994</v>
      </c>
      <c r="H51" s="8">
        <f>SUM(Tabela1[[#This Row],[Coluna1]:[Coluna4]])</f>
        <v>2867.9299999999917</v>
      </c>
      <c r="I51" s="8">
        <v>124.62</v>
      </c>
      <c r="J51" s="9">
        <f t="shared" si="3"/>
        <v>44206</v>
      </c>
      <c r="K51" s="10">
        <v>2.7E-2</v>
      </c>
      <c r="L51" s="8">
        <f>Tabela1[[#This Row],[Coluna6]]</f>
        <v>124.62</v>
      </c>
      <c r="M51" s="28">
        <f>Tabela1[[#This Row],[Coluna7]]</f>
        <v>44206</v>
      </c>
    </row>
    <row r="52" spans="1:13" x14ac:dyDescent="0.25">
      <c r="A52" s="1">
        <v>39</v>
      </c>
      <c r="B52" s="27">
        <f t="shared" si="0"/>
        <v>44237</v>
      </c>
      <c r="C52" s="8">
        <f t="shared" si="1"/>
        <v>2743.3099999999918</v>
      </c>
      <c r="D52" s="8">
        <v>0</v>
      </c>
      <c r="E52" s="19">
        <v>0</v>
      </c>
      <c r="F52" s="8">
        <f>2.06+7.28</f>
        <v>9.34</v>
      </c>
      <c r="G52" s="8">
        <v>76.540000000000006</v>
      </c>
      <c r="H52" s="8">
        <f>SUM(Tabela1[[#This Row],[Coluna1]:[Coluna4]])</f>
        <v>2829.1899999999919</v>
      </c>
      <c r="I52" s="8">
        <v>124.62</v>
      </c>
      <c r="J52" s="9">
        <f t="shared" si="3"/>
        <v>44237</v>
      </c>
      <c r="K52" s="10">
        <v>2.7E-2</v>
      </c>
      <c r="L52" s="8">
        <f>Tabela1[[#This Row],[Coluna6]]</f>
        <v>124.62</v>
      </c>
      <c r="M52" s="28">
        <f>Tabela1[[#This Row],[Coluna7]]</f>
        <v>44237</v>
      </c>
    </row>
    <row r="53" spans="1:13" x14ac:dyDescent="0.25">
      <c r="A53" s="1">
        <v>40</v>
      </c>
      <c r="B53" s="27">
        <f t="shared" si="0"/>
        <v>44265</v>
      </c>
      <c r="C53" s="8">
        <f>H52-L52</f>
        <v>2704.569999999992</v>
      </c>
      <c r="D53" s="8">
        <v>0</v>
      </c>
      <c r="E53" s="19">
        <v>0</v>
      </c>
      <c r="F53" s="8">
        <v>6.54</v>
      </c>
      <c r="G53" s="8">
        <v>68.150000000000006</v>
      </c>
      <c r="H53" s="50">
        <f>SUM(Tabela1[[#This Row],[Coluna1]:[Coluna4]])</f>
        <v>2779.259999999992</v>
      </c>
      <c r="I53" s="8">
        <v>125.29</v>
      </c>
      <c r="J53" s="9">
        <f t="shared" si="3"/>
        <v>44265</v>
      </c>
      <c r="K53" s="10">
        <v>2.7E-2</v>
      </c>
      <c r="L53" s="8">
        <f>Tabela1[[#This Row],[Coluna6]]</f>
        <v>125.29</v>
      </c>
      <c r="M53" s="28">
        <f>Tabela1[[#This Row],[Coluna7]]</f>
        <v>44265</v>
      </c>
    </row>
    <row r="54" spans="1:13" x14ac:dyDescent="0.25">
      <c r="M54" s="15"/>
    </row>
    <row r="55" spans="1:13" x14ac:dyDescent="0.25">
      <c r="G55" s="18"/>
      <c r="H55" s="18"/>
    </row>
    <row r="56" spans="1:13" x14ac:dyDescent="0.25">
      <c r="H56" s="18">
        <f>D14-H53</f>
        <v>102.09000000000788</v>
      </c>
    </row>
    <row r="69" spans="5:7" x14ac:dyDescent="0.25">
      <c r="E69" s="15"/>
      <c r="F69" s="15"/>
    </row>
    <row r="70" spans="5:7" x14ac:dyDescent="0.25">
      <c r="E70" s="15"/>
      <c r="F70" s="15"/>
    </row>
    <row r="71" spans="5:7" x14ac:dyDescent="0.25">
      <c r="G71" s="56"/>
    </row>
    <row r="72" spans="5:7" x14ac:dyDescent="0.25">
      <c r="G72" s="20"/>
    </row>
    <row r="73" spans="5:7" x14ac:dyDescent="0.25">
      <c r="G73" s="20"/>
    </row>
    <row r="74" spans="5:7" x14ac:dyDescent="0.25">
      <c r="G74" s="20"/>
    </row>
  </sheetData>
  <mergeCells count="4">
    <mergeCell ref="B5:M5"/>
    <mergeCell ref="C2:D2"/>
    <mergeCell ref="C3:D3"/>
    <mergeCell ref="B11:M11"/>
  </mergeCells>
  <phoneticPr fontId="10" type="noConversion"/>
  <pageMargins left="0.511811024" right="0.511811024" top="0.78740157499999996" bottom="0.78740157499999996" header="0.31496062000000002" footer="0.31496062000000002"/>
  <pageSetup paperSize="9" scale="53" orientation="portrait" r:id="rId1"/>
  <headerFooter>
    <oddHeader>&amp;R&amp;"Cambria,Negrito"&amp;14Especializado em Perícia Bancária
Diego Lima | CRC-BA 04386/O-6
(Judicial e Extrajudicial)</oddHeader>
    <oddFooter>&amp;C&amp;"Cambria,Negrito"&amp;16ENDEREÇO DO SEU ESCRITÓRIO / E-MAIL / TELEFONE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FCAC9-6340-4ABD-A5FD-BBBF99D2C4B2}">
  <dimension ref="A1:W74"/>
  <sheetViews>
    <sheetView showGridLines="0" topLeftCell="A7" zoomScale="145" zoomScaleNormal="145" zoomScalePageLayoutView="70" workbookViewId="0">
      <selection activeCell="H15" sqref="H15"/>
    </sheetView>
  </sheetViews>
  <sheetFormatPr defaultRowHeight="14.25" x14ac:dyDescent="0.25"/>
  <cols>
    <col min="1" max="1" width="9.140625" style="1"/>
    <col min="2" max="2" width="12.5703125" style="1" customWidth="1"/>
    <col min="3" max="3" width="11" style="1" customWidth="1"/>
    <col min="4" max="4" width="10.140625" style="1" customWidth="1"/>
    <col min="5" max="5" width="11.140625" style="1" customWidth="1"/>
    <col min="6" max="6" width="6" style="1" customWidth="1"/>
    <col min="7" max="7" width="10.85546875" style="1" customWidth="1"/>
    <col min="8" max="8" width="11" style="1" bestFit="1" customWidth="1"/>
    <col min="9" max="9" width="12.28515625" style="1" bestFit="1" customWidth="1"/>
    <col min="10" max="10" width="13.140625" style="1" customWidth="1"/>
    <col min="11" max="11" width="12.85546875" style="1" bestFit="1" customWidth="1"/>
    <col min="12" max="12" width="10" style="1" bestFit="1" customWidth="1"/>
    <col min="13" max="13" width="12.7109375" style="1" bestFit="1" customWidth="1"/>
    <col min="14" max="14" width="9.140625" style="1"/>
    <col min="15" max="15" width="15.7109375" style="1" bestFit="1" customWidth="1"/>
    <col min="16" max="16" width="15.7109375" style="1" customWidth="1"/>
    <col min="17" max="17" width="16.5703125" style="1" customWidth="1"/>
    <col min="18" max="18" width="14.28515625" style="1" customWidth="1"/>
    <col min="19" max="19" width="13.140625" style="1" customWidth="1"/>
    <col min="20" max="20" width="14" style="1" customWidth="1"/>
    <col min="21" max="21" width="12.85546875" style="1" customWidth="1"/>
    <col min="22" max="22" width="16.85546875" style="1" customWidth="1"/>
    <col min="23" max="23" width="20.5703125" style="1" customWidth="1"/>
    <col min="24" max="24" width="12" style="1" customWidth="1"/>
    <col min="25" max="16384" width="9.140625" style="1"/>
  </cols>
  <sheetData>
    <row r="1" spans="1:23" x14ac:dyDescent="0.25">
      <c r="H1" s="18"/>
      <c r="I1" s="58"/>
    </row>
    <row r="2" spans="1:23" x14ac:dyDescent="0.25">
      <c r="C2" s="63"/>
      <c r="D2" s="63"/>
      <c r="E2" s="17"/>
      <c r="F2" s="17"/>
      <c r="H2" s="14"/>
      <c r="I2" s="20"/>
      <c r="J2" s="5"/>
    </row>
    <row r="3" spans="1:23" x14ac:dyDescent="0.25">
      <c r="C3" s="63"/>
      <c r="D3" s="63"/>
      <c r="E3" s="17"/>
      <c r="F3" s="17"/>
      <c r="H3" s="18"/>
      <c r="K3" s="6"/>
    </row>
    <row r="4" spans="1:23" ht="16.5" thickBot="1" x14ac:dyDescent="0.3">
      <c r="B4" s="4"/>
      <c r="H4" s="15"/>
      <c r="I4" s="15"/>
      <c r="J4" s="16"/>
      <c r="K4" s="5"/>
      <c r="L4" s="13"/>
    </row>
    <row r="5" spans="1:23" ht="18.75" thickBot="1" x14ac:dyDescent="0.3">
      <c r="B5" s="60" t="s">
        <v>85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23" ht="4.5" customHeight="1" thickBot="1" x14ac:dyDescent="0.3">
      <c r="B6" s="4"/>
      <c r="J6" s="7"/>
    </row>
    <row r="7" spans="1:23" x14ac:dyDescent="0.25">
      <c r="B7" s="25" t="s">
        <v>70</v>
      </c>
      <c r="C7" s="21"/>
      <c r="D7" s="22"/>
      <c r="J7" s="7"/>
    </row>
    <row r="8" spans="1:23" x14ac:dyDescent="0.25">
      <c r="B8" s="87" t="s">
        <v>71</v>
      </c>
      <c r="C8" s="88"/>
      <c r="D8" s="89"/>
      <c r="I8" s="18"/>
      <c r="J8" s="5"/>
      <c r="K8" s="57"/>
    </row>
    <row r="9" spans="1:23" ht="15" thickBot="1" x14ac:dyDescent="0.3">
      <c r="B9" s="26" t="s">
        <v>37</v>
      </c>
      <c r="C9" s="23"/>
      <c r="D9" s="24"/>
      <c r="H9" s="18"/>
      <c r="J9" s="7"/>
    </row>
    <row r="10" spans="1:23" ht="4.5" customHeight="1" thickBot="1" x14ac:dyDescent="0.3">
      <c r="B10" s="4"/>
      <c r="J10" s="7"/>
    </row>
    <row r="11" spans="1:23" s="12" customFormat="1" ht="22.5" customHeight="1" thickBot="1" x14ac:dyDescent="0.3">
      <c r="B11" s="64" t="s">
        <v>32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6"/>
      <c r="N11" s="94" t="s">
        <v>74</v>
      </c>
      <c r="O11" s="95"/>
      <c r="P11" s="96"/>
      <c r="Q11" s="67" t="s">
        <v>78</v>
      </c>
      <c r="R11" s="68"/>
      <c r="S11" s="104" t="s">
        <v>31</v>
      </c>
      <c r="T11" s="105"/>
      <c r="U11" s="105"/>
      <c r="V11" s="105"/>
      <c r="W11" s="106"/>
    </row>
    <row r="12" spans="1:23" ht="21" hidden="1" customHeight="1" thickBot="1" x14ac:dyDescent="0.3">
      <c r="B12" s="11" t="s">
        <v>10</v>
      </c>
      <c r="C12" s="11" t="s">
        <v>15</v>
      </c>
      <c r="D12" s="11" t="s">
        <v>16</v>
      </c>
      <c r="E12" s="11" t="s">
        <v>17</v>
      </c>
      <c r="F12" s="11" t="s">
        <v>52</v>
      </c>
      <c r="G12" s="11" t="s">
        <v>18</v>
      </c>
      <c r="H12" s="11" t="s">
        <v>19</v>
      </c>
      <c r="I12" s="11" t="s">
        <v>20</v>
      </c>
      <c r="J12" s="11" t="s">
        <v>21</v>
      </c>
      <c r="K12" s="11" t="s">
        <v>22</v>
      </c>
      <c r="L12" s="11" t="s">
        <v>23</v>
      </c>
      <c r="M12" s="11" t="s">
        <v>24</v>
      </c>
      <c r="N12" s="29" t="s">
        <v>25</v>
      </c>
      <c r="O12" s="29" t="s">
        <v>26</v>
      </c>
      <c r="P12" s="29" t="s">
        <v>27</v>
      </c>
      <c r="Q12" s="29" t="s">
        <v>76</v>
      </c>
      <c r="R12" s="29" t="s">
        <v>77</v>
      </c>
      <c r="S12" s="29" t="s">
        <v>81</v>
      </c>
      <c r="T12" s="29" t="s">
        <v>28</v>
      </c>
      <c r="U12" s="29" t="s">
        <v>29</v>
      </c>
      <c r="V12" s="29" t="s">
        <v>30</v>
      </c>
      <c r="W12" s="29" t="s">
        <v>36</v>
      </c>
    </row>
    <row r="13" spans="1:23" s="2" customFormat="1" ht="36" customHeight="1" thickBot="1" x14ac:dyDescent="0.3">
      <c r="B13" s="53" t="s">
        <v>49</v>
      </c>
      <c r="C13" s="54" t="s">
        <v>33</v>
      </c>
      <c r="D13" s="54" t="s">
        <v>51</v>
      </c>
      <c r="E13" s="59" t="s">
        <v>50</v>
      </c>
      <c r="F13" s="54" t="s">
        <v>7</v>
      </c>
      <c r="G13" s="90" t="s">
        <v>9</v>
      </c>
      <c r="H13" s="54" t="s">
        <v>1</v>
      </c>
      <c r="I13" s="54" t="s">
        <v>2</v>
      </c>
      <c r="J13" s="54" t="s">
        <v>3</v>
      </c>
      <c r="K13" s="54" t="s">
        <v>11</v>
      </c>
      <c r="L13" s="54" t="s">
        <v>4</v>
      </c>
      <c r="M13" s="55" t="s">
        <v>5</v>
      </c>
      <c r="N13" s="97" t="s">
        <v>6</v>
      </c>
      <c r="O13" s="97" t="s">
        <v>72</v>
      </c>
      <c r="P13" s="97" t="s">
        <v>73</v>
      </c>
      <c r="Q13" s="103" t="s">
        <v>75</v>
      </c>
      <c r="R13" s="103" t="s">
        <v>8</v>
      </c>
      <c r="S13" s="107" t="s">
        <v>53</v>
      </c>
      <c r="T13" s="107" t="s">
        <v>54</v>
      </c>
      <c r="U13" s="107" t="s">
        <v>82</v>
      </c>
      <c r="V13" s="107" t="s">
        <v>83</v>
      </c>
      <c r="W13" s="107" t="s">
        <v>84</v>
      </c>
    </row>
    <row r="14" spans="1:23" x14ac:dyDescent="0.25">
      <c r="A14" s="1">
        <v>1</v>
      </c>
      <c r="B14" s="27">
        <v>43079</v>
      </c>
      <c r="C14" s="8">
        <v>0</v>
      </c>
      <c r="D14" s="8">
        <f>Tabela1[[#This Row],[Coluna2]]</f>
        <v>2881.35</v>
      </c>
      <c r="E14" s="19">
        <v>0</v>
      </c>
      <c r="F14" s="8">
        <f>Tabela1[[#This Row],[Coluna32]]</f>
        <v>16.619999999999997</v>
      </c>
      <c r="G14" s="91">
        <f>'AULA RMC'!D13</f>
        <v>46.101600000000005</v>
      </c>
      <c r="H14" s="8">
        <f>SUM(Tabela14[[#This Row],[Coluna1]:[Coluna4]])</f>
        <v>2944.0715999999998</v>
      </c>
      <c r="I14" s="8">
        <f>Tabela1[[#This Row],[Coluna6]]</f>
        <v>112.32</v>
      </c>
      <c r="J14" s="9">
        <f>Tabela1[[#This Row],[Coluna7]]</f>
        <v>43079</v>
      </c>
      <c r="K14" s="92">
        <f>Tabela1[[#This Row],[Coluna8]]</f>
        <v>0.03</v>
      </c>
      <c r="L14" s="8">
        <f>Tabela1[[#This Row],[Coluna9]]</f>
        <v>112.32</v>
      </c>
      <c r="M14" s="28">
        <f>Tabela1[[#This Row],[Coluna10]]</f>
        <v>43079</v>
      </c>
      <c r="N14" s="1">
        <f>IF(Tabela14[[#This Row],[Coluna12]]&gt;0,M15-Tabela14[[#This Row],[Coluna10]],Tabela14[[#This Row],[Coluna10]]-Tabela14[[#This Row],[Coluna7]])</f>
        <v>31</v>
      </c>
      <c r="O14" s="18">
        <f>Tabela14[[#This Row],[Coluna5]]-Tabela14[[#This Row],[Coluna9]]</f>
        <v>2831.7515999999996</v>
      </c>
      <c r="P14" s="20">
        <f>Tabela14[[#This Row],[Coluna12]]*Tabela14[[#This Row],[Coluna14]]/30*Tabela14[[#This Row],[Coluna11]]</f>
        <v>58.522866399999991</v>
      </c>
      <c r="Q14" s="13">
        <f>VLOOKUP(Tabela14[[#This Row],[Coluna7]],'tx média'!A:B,2,TRUE)%</f>
        <v>0.02</v>
      </c>
      <c r="R14" s="93" t="str">
        <f>IF(Tabela14[[#This Row],[Coluna8]]/Tabela14[[#This Row],[Coluna14]]&gt;1.2,"Abusivo","Normal")</f>
        <v>Abusivo</v>
      </c>
      <c r="S14" s="18">
        <f>Tabela1[[#This Row],[Coluna4]]</f>
        <v>69.150000000000006</v>
      </c>
      <c r="T14" s="18">
        <f>Tabela14[[#This Row],[Coluna4]]</f>
        <v>46.101600000000005</v>
      </c>
      <c r="U14" s="18">
        <f>Tabela1[[#This Row],[Coluna3]]</f>
        <v>150.58000000000001</v>
      </c>
      <c r="V14" s="108">
        <f>Tabela14[[#This Row],[Coluna16]]-Tabela14[[#This Row],[Coluna17]]+Tabela14[[#This Row],[Coluna18]]</f>
        <v>173.6284</v>
      </c>
      <c r="W14" s="18">
        <f>Tabela14[[#This Row],[Coluna19]]</f>
        <v>173.6284</v>
      </c>
    </row>
    <row r="15" spans="1:23" x14ac:dyDescent="0.25">
      <c r="A15" s="1">
        <v>2</v>
      </c>
      <c r="B15" s="27">
        <f>EDATE(B14,1)</f>
        <v>43110</v>
      </c>
      <c r="C15" s="8">
        <f>H14-L14</f>
        <v>2831.7515999999996</v>
      </c>
      <c r="D15" s="8">
        <f>Tabela1[[#This Row],[Coluna2]]</f>
        <v>0</v>
      </c>
      <c r="E15" s="19">
        <v>0</v>
      </c>
      <c r="F15" s="8">
        <f>Tabela1[[#This Row],[Coluna32]]</f>
        <v>18.71</v>
      </c>
      <c r="G15" s="91">
        <f>P14</f>
        <v>58.522866399999991</v>
      </c>
      <c r="H15" s="8">
        <f>SUM(Tabela14[[#This Row],[Coluna1]:[Coluna4]])</f>
        <v>2908.9844663999997</v>
      </c>
      <c r="I15" s="8">
        <f>Tabela1[[#This Row],[Coluna6]]</f>
        <v>112.32</v>
      </c>
      <c r="J15" s="9">
        <f>Tabela1[[#This Row],[Coluna7]]</f>
        <v>43110</v>
      </c>
      <c r="K15" s="92">
        <f>Tabela1[[#This Row],[Coluna8]]</f>
        <v>0.03</v>
      </c>
      <c r="L15" s="8">
        <f>Tabela1[[#This Row],[Coluna9]]</f>
        <v>112.32</v>
      </c>
      <c r="M15" s="28">
        <f>Tabela1[[#This Row],[Coluna10]]</f>
        <v>43110</v>
      </c>
      <c r="N15" s="1">
        <f>IF(Tabela14[[#This Row],[Coluna12]]&gt;0,M16-Tabela14[[#This Row],[Coluna10]],Tabela14[[#This Row],[Coluna10]]-Tabela14[[#This Row],[Coluna7]])</f>
        <v>31</v>
      </c>
      <c r="O15" s="18">
        <f>Tabela14[[#This Row],[Coluna5]]-Tabela14[[#This Row],[Coluna9]]</f>
        <v>2796.6644663999996</v>
      </c>
      <c r="P15" s="20">
        <f>Tabela14[[#This Row],[Coluna12]]*Tabela14[[#This Row],[Coluna14]]/30*Tabela14[[#This Row],[Coluna11]]</f>
        <v>57.797732305599993</v>
      </c>
      <c r="Q15" s="13">
        <f>VLOOKUP(Tabela14[[#This Row],[Coluna7]],'tx média'!A:B,2,TRUE)%</f>
        <v>0.02</v>
      </c>
      <c r="R15" s="93" t="str">
        <f>IF(Tabela14[[#This Row],[Coluna8]]/Tabela14[[#This Row],[Coluna14]]&gt;1.2,"Abusivo","Normal")</f>
        <v>Abusivo</v>
      </c>
      <c r="S15" s="18">
        <f>Tabela1[[#This Row],[Coluna4]]</f>
        <v>93.02</v>
      </c>
      <c r="T15" s="20">
        <f>P14</f>
        <v>58.522866399999991</v>
      </c>
      <c r="U15" s="18">
        <f>Tabela1[[#This Row],[Coluna3]]</f>
        <v>5</v>
      </c>
      <c r="V15" s="108">
        <f>Tabela14[[#This Row],[Coluna16]]-Tabela14[[#This Row],[Coluna17]]+Tabela14[[#This Row],[Coluna18]]</f>
        <v>39.497133600000005</v>
      </c>
      <c r="W15" s="18">
        <f>W14+Tabela14[[#This Row],[Coluna19]]</f>
        <v>213.12553360000001</v>
      </c>
    </row>
    <row r="16" spans="1:23" x14ac:dyDescent="0.25">
      <c r="A16" s="1">
        <v>3</v>
      </c>
      <c r="B16" s="27">
        <f t="shared" ref="B16:B53" si="0">EDATE(B15,1)</f>
        <v>43141</v>
      </c>
      <c r="C16" s="8">
        <f>H15-L15</f>
        <v>2796.6644663999996</v>
      </c>
      <c r="D16" s="8">
        <f>Tabela1[[#This Row],[Coluna2]]</f>
        <v>0</v>
      </c>
      <c r="E16" s="19">
        <v>0</v>
      </c>
      <c r="F16" s="8">
        <f>Tabela1[[#This Row],[Coluna32]]</f>
        <v>8.0500000000000007</v>
      </c>
      <c r="G16" s="91">
        <f>P15</f>
        <v>57.797732305599993</v>
      </c>
      <c r="H16" s="8">
        <f>SUM(Tabela14[[#This Row],[Coluna1]:[Coluna4]])</f>
        <v>2862.5121987056</v>
      </c>
      <c r="I16" s="8">
        <f>Tabela1[[#This Row],[Coluna6]]</f>
        <v>112.32</v>
      </c>
      <c r="J16" s="9">
        <f>Tabela1[[#This Row],[Coluna7]]</f>
        <v>43141</v>
      </c>
      <c r="K16" s="92">
        <f>Tabela1[[#This Row],[Coluna8]]</f>
        <v>0.03</v>
      </c>
      <c r="L16" s="8">
        <f>Tabela1[[#This Row],[Coluna9]]</f>
        <v>112.32</v>
      </c>
      <c r="M16" s="28">
        <f>Tabela1[[#This Row],[Coluna10]]</f>
        <v>43141</v>
      </c>
      <c r="N16" s="1">
        <f>IF(Tabela14[[#This Row],[Coluna12]]&gt;0,M17-Tabela14[[#This Row],[Coluna10]],Tabela14[[#This Row],[Coluna10]]-Tabela14[[#This Row],[Coluna7]])</f>
        <v>28</v>
      </c>
      <c r="O16" s="18">
        <f>Tabela14[[#This Row],[Coluna5]]-Tabela14[[#This Row],[Coluna9]]</f>
        <v>2750.1921987055998</v>
      </c>
      <c r="P16" s="20">
        <f>Tabela14[[#This Row],[Coluna12]]*Tabela14[[#This Row],[Coluna14]]/30*Tabela14[[#This Row],[Coluna11]]</f>
        <v>51.593605647717041</v>
      </c>
      <c r="Q16" s="13">
        <f>VLOOKUP(Tabela14[[#This Row],[Coluna7]],'tx média'!A:B,2,TRUE)%</f>
        <v>2.0099999999999996E-2</v>
      </c>
      <c r="R16" s="93" t="str">
        <f>IF(Tabela14[[#This Row],[Coluna8]]/Tabela14[[#This Row],[Coluna14]]&gt;1.2,"Abusivo","Normal")</f>
        <v>Abusivo</v>
      </c>
      <c r="S16" s="18">
        <f>Tabela1[[#This Row],[Coluna4]]</f>
        <v>93.31</v>
      </c>
      <c r="T16" s="20">
        <f t="shared" ref="T16:T53" si="1">P15</f>
        <v>57.797732305599993</v>
      </c>
      <c r="U16" s="18">
        <f>Tabela1[[#This Row],[Coluna3]]</f>
        <v>5</v>
      </c>
      <c r="V16" s="108">
        <f>Tabela14[[#This Row],[Coluna16]]-Tabela14[[#This Row],[Coluna17]]+Tabela14[[#This Row],[Coluna18]]</f>
        <v>40.512267694400009</v>
      </c>
      <c r="W16" s="18">
        <f>W15+Tabela14[[#This Row],[Coluna19]]</f>
        <v>253.63780129440002</v>
      </c>
    </row>
    <row r="17" spans="1:23" x14ac:dyDescent="0.25">
      <c r="A17" s="1">
        <v>4</v>
      </c>
      <c r="B17" s="27">
        <f t="shared" si="0"/>
        <v>43169</v>
      </c>
      <c r="C17" s="8">
        <f t="shared" ref="C17:C52" si="2">H16-L16</f>
        <v>2750.1921987055998</v>
      </c>
      <c r="D17" s="8">
        <f>Tabela1[[#This Row],[Coluna2]]</f>
        <v>0</v>
      </c>
      <c r="E17" s="19">
        <v>0</v>
      </c>
      <c r="F17" s="8">
        <f>Tabela1[[#This Row],[Coluna32]]</f>
        <v>7.3</v>
      </c>
      <c r="G17" s="91">
        <f t="shared" ref="G17:G53" si="3">P16</f>
        <v>51.593605647717041</v>
      </c>
      <c r="H17" s="8">
        <f>SUM(Tabela14[[#This Row],[Coluna1]:[Coluna4]])</f>
        <v>2809.0858043533171</v>
      </c>
      <c r="I17" s="8">
        <f>Tabela1[[#This Row],[Coluna6]]</f>
        <v>112.32</v>
      </c>
      <c r="J17" s="9">
        <f>Tabela1[[#This Row],[Coluna7]]</f>
        <v>43169</v>
      </c>
      <c r="K17" s="92">
        <f>Tabela1[[#This Row],[Coluna8]]</f>
        <v>0.03</v>
      </c>
      <c r="L17" s="8">
        <f>Tabela1[[#This Row],[Coluna9]]</f>
        <v>112.32</v>
      </c>
      <c r="M17" s="28">
        <f>Tabela1[[#This Row],[Coluna10]]</f>
        <v>43169</v>
      </c>
      <c r="N17" s="1">
        <f>IF(Tabela14[[#This Row],[Coluna12]]&gt;0,M18-Tabela14[[#This Row],[Coluna10]],Tabela14[[#This Row],[Coluna10]]-Tabela14[[#This Row],[Coluna7]])</f>
        <v>31</v>
      </c>
      <c r="O17" s="18">
        <f>Tabela14[[#This Row],[Coluna5]]-Tabela14[[#This Row],[Coluna9]]</f>
        <v>2696.765804353317</v>
      </c>
      <c r="P17" s="20">
        <f>Tabela14[[#This Row],[Coluna12]]*Tabela14[[#This Row],[Coluna14]]/30*Tabela14[[#This Row],[Coluna11]]</f>
        <v>55.73315995663522</v>
      </c>
      <c r="Q17" s="13">
        <f>VLOOKUP(Tabela14[[#This Row],[Coluna7]],'tx média'!A:B,2,TRUE)%</f>
        <v>0.02</v>
      </c>
      <c r="R17" s="93" t="str">
        <f>IF(Tabela14[[#This Row],[Coluna8]]/Tabela14[[#This Row],[Coluna14]]&gt;1.2,"Abusivo","Normal")</f>
        <v>Abusivo</v>
      </c>
      <c r="S17" s="18">
        <f>Tabela1[[#This Row],[Coluna4]]</f>
        <v>84.11</v>
      </c>
      <c r="T17" s="20">
        <f t="shared" si="1"/>
        <v>51.593605647717041</v>
      </c>
      <c r="U17" s="18">
        <f>Tabela1[[#This Row],[Coluna3]]</f>
        <v>0</v>
      </c>
      <c r="V17" s="108">
        <f>Tabela14[[#This Row],[Coluna16]]-Tabela14[[#This Row],[Coluna17]]+Tabela14[[#This Row],[Coluna18]]</f>
        <v>32.516394352282958</v>
      </c>
      <c r="W17" s="18">
        <f>W16+Tabela14[[#This Row],[Coluna19]]</f>
        <v>286.15419564668298</v>
      </c>
    </row>
    <row r="18" spans="1:23" x14ac:dyDescent="0.25">
      <c r="A18" s="1">
        <v>5</v>
      </c>
      <c r="B18" s="27">
        <f t="shared" si="0"/>
        <v>43200</v>
      </c>
      <c r="C18" s="8">
        <f t="shared" si="2"/>
        <v>2696.765804353317</v>
      </c>
      <c r="D18" s="8">
        <f>Tabela1[[#This Row],[Coluna2]]</f>
        <v>0</v>
      </c>
      <c r="E18" s="19">
        <v>0</v>
      </c>
      <c r="F18" s="8">
        <f>Tabela1[[#This Row],[Coluna32]]</f>
        <v>7.92</v>
      </c>
      <c r="G18" s="91">
        <f t="shared" si="3"/>
        <v>55.73315995663522</v>
      </c>
      <c r="H18" s="8">
        <f>SUM(Tabela14[[#This Row],[Coluna1]:[Coluna4]])</f>
        <v>2760.4189643099521</v>
      </c>
      <c r="I18" s="8">
        <f>Tabela1[[#This Row],[Coluna6]]</f>
        <v>112.32</v>
      </c>
      <c r="J18" s="9">
        <f>Tabela1[[#This Row],[Coluna7]]</f>
        <v>43200</v>
      </c>
      <c r="K18" s="92">
        <f>Tabela1[[#This Row],[Coluna8]]</f>
        <v>0.03</v>
      </c>
      <c r="L18" s="8">
        <f>Tabela1[[#This Row],[Coluna9]]</f>
        <v>112.32</v>
      </c>
      <c r="M18" s="28">
        <f>Tabela1[[#This Row],[Coluna10]]</f>
        <v>43200</v>
      </c>
      <c r="N18" s="1">
        <f>IF(Tabela14[[#This Row],[Coluna12]]&gt;0,M19-Tabela14[[#This Row],[Coluna10]],Tabela14[[#This Row],[Coluna10]]-Tabela14[[#This Row],[Coluna7]])</f>
        <v>30</v>
      </c>
      <c r="O18" s="18">
        <f>Tabela14[[#This Row],[Coluna5]]-Tabela14[[#This Row],[Coluna9]]</f>
        <v>2648.098964309952</v>
      </c>
      <c r="P18" s="20">
        <f>Tabela14[[#This Row],[Coluna12]]*Tabela14[[#This Row],[Coluna14]]/30*Tabela14[[#This Row],[Coluna11]]</f>
        <v>52.432359493337046</v>
      </c>
      <c r="Q18" s="13">
        <f>VLOOKUP(Tabela14[[#This Row],[Coluna7]],'tx média'!A:B,2,TRUE)%</f>
        <v>1.9799999999999998E-2</v>
      </c>
      <c r="R18" s="93" t="str">
        <f>IF(Tabela14[[#This Row],[Coluna8]]/Tabela14[[#This Row],[Coluna14]]&gt;1.2,"Abusivo","Normal")</f>
        <v>Abusivo</v>
      </c>
      <c r="S18" s="18">
        <f>Tabela1[[#This Row],[Coluna4]]</f>
        <v>92.48</v>
      </c>
      <c r="T18" s="20">
        <f t="shared" si="1"/>
        <v>55.73315995663522</v>
      </c>
      <c r="U18" s="18">
        <f>Tabela1[[#This Row],[Coluna3]]</f>
        <v>0</v>
      </c>
      <c r="V18" s="108">
        <f>Tabela14[[#This Row],[Coluna16]]-Tabela14[[#This Row],[Coluna17]]+Tabela14[[#This Row],[Coluna18]]</f>
        <v>36.746840043364784</v>
      </c>
      <c r="W18" s="18">
        <f>W17+Tabela14[[#This Row],[Coluna19]]</f>
        <v>322.90103569004776</v>
      </c>
    </row>
    <row r="19" spans="1:23" x14ac:dyDescent="0.25">
      <c r="A19" s="1">
        <v>6</v>
      </c>
      <c r="B19" s="27">
        <f t="shared" si="0"/>
        <v>43230</v>
      </c>
      <c r="C19" s="8">
        <f t="shared" si="2"/>
        <v>2648.098964309952</v>
      </c>
      <c r="D19" s="8">
        <f>Tabela1[[#This Row],[Coluna2]]</f>
        <v>0</v>
      </c>
      <c r="E19" s="19">
        <v>0</v>
      </c>
      <c r="F19" s="8">
        <f>Tabela1[[#This Row],[Coluna32]]</f>
        <v>7.69</v>
      </c>
      <c r="G19" s="91">
        <f t="shared" si="3"/>
        <v>52.432359493337046</v>
      </c>
      <c r="H19" s="8">
        <f>SUM(Tabela14[[#This Row],[Coluna1]:[Coluna4]])</f>
        <v>2708.2213238032891</v>
      </c>
      <c r="I19" s="8">
        <f>Tabela1[[#This Row],[Coluna6]]</f>
        <v>112.32</v>
      </c>
      <c r="J19" s="9">
        <f>Tabela1[[#This Row],[Coluna7]]</f>
        <v>43230</v>
      </c>
      <c r="K19" s="92">
        <f>Tabela1[[#This Row],[Coluna8]]</f>
        <v>0.03</v>
      </c>
      <c r="L19" s="8">
        <f>Tabela1[[#This Row],[Coluna9]]</f>
        <v>112.32</v>
      </c>
      <c r="M19" s="28">
        <f>Tabela1[[#This Row],[Coluna10]]</f>
        <v>43230</v>
      </c>
      <c r="N19" s="1">
        <f>IF(Tabela14[[#This Row],[Coluna12]]&gt;0,M20-Tabela14[[#This Row],[Coluna10]],Tabela14[[#This Row],[Coluna10]]-Tabela14[[#This Row],[Coluna7]])</f>
        <v>31</v>
      </c>
      <c r="O19" s="18">
        <f>Tabela14[[#This Row],[Coluna5]]-Tabela14[[#This Row],[Coluna9]]</f>
        <v>2595.901323803289</v>
      </c>
      <c r="P19" s="20">
        <f>Tabela14[[#This Row],[Coluna12]]*Tabela14[[#This Row],[Coluna14]]/30*Tabela14[[#This Row],[Coluna11]]</f>
        <v>52.575654811429274</v>
      </c>
      <c r="Q19" s="13">
        <f>VLOOKUP(Tabela14[[#This Row],[Coluna7]],'tx média'!A:B,2,TRUE)%</f>
        <v>1.9599999999999999E-2</v>
      </c>
      <c r="R19" s="93" t="str">
        <f>IF(Tabela14[[#This Row],[Coluna8]]/Tabela14[[#This Row],[Coluna14]]&gt;1.2,"Abusivo","Normal")</f>
        <v>Abusivo</v>
      </c>
      <c r="S19" s="18">
        <f>Tabela1[[#This Row],[Coluna4]]</f>
        <v>89.13</v>
      </c>
      <c r="T19" s="20">
        <f t="shared" si="1"/>
        <v>52.432359493337046</v>
      </c>
      <c r="U19" s="18">
        <f>Tabela1[[#This Row],[Coluna3]]</f>
        <v>0</v>
      </c>
      <c r="V19" s="108">
        <f>Tabela14[[#This Row],[Coluna16]]-Tabela14[[#This Row],[Coluna17]]+Tabela14[[#This Row],[Coluna18]]</f>
        <v>36.69764050666295</v>
      </c>
      <c r="W19" s="18">
        <f>W18+Tabela14[[#This Row],[Coluna19]]</f>
        <v>359.5986761967107</v>
      </c>
    </row>
    <row r="20" spans="1:23" x14ac:dyDescent="0.25">
      <c r="A20" s="1">
        <v>7</v>
      </c>
      <c r="B20" s="27">
        <f t="shared" si="0"/>
        <v>43261</v>
      </c>
      <c r="C20" s="8">
        <f t="shared" si="2"/>
        <v>2595.901323803289</v>
      </c>
      <c r="D20" s="8">
        <f>Tabela1[[#This Row],[Coluna2]]</f>
        <v>0</v>
      </c>
      <c r="E20" s="19">
        <v>0</v>
      </c>
      <c r="F20" s="8">
        <f>Tabela1[[#This Row],[Coluna32]]</f>
        <v>7.88</v>
      </c>
      <c r="G20" s="91">
        <f t="shared" si="3"/>
        <v>52.575654811429274</v>
      </c>
      <c r="H20" s="8">
        <f>SUM(Tabela14[[#This Row],[Coluna1]:[Coluna4]])</f>
        <v>2656.3569786147182</v>
      </c>
      <c r="I20" s="8">
        <f>Tabela1[[#This Row],[Coluna6]]</f>
        <v>112.32</v>
      </c>
      <c r="J20" s="9">
        <f>Tabela1[[#This Row],[Coluna7]]</f>
        <v>43261</v>
      </c>
      <c r="K20" s="92">
        <f>Tabela1[[#This Row],[Coluna8]]</f>
        <v>0.03</v>
      </c>
      <c r="L20" s="8">
        <f>Tabela1[[#This Row],[Coluna9]]</f>
        <v>112.32</v>
      </c>
      <c r="M20" s="28">
        <f>Tabela1[[#This Row],[Coluna10]]</f>
        <v>43261</v>
      </c>
      <c r="N20" s="1">
        <f>IF(Tabela14[[#This Row],[Coluna12]]&gt;0,M21-Tabela14[[#This Row],[Coluna10]],Tabela14[[#This Row],[Coluna10]]-Tabela14[[#This Row],[Coluna7]])</f>
        <v>30</v>
      </c>
      <c r="O20" s="18">
        <f>Tabela14[[#This Row],[Coluna5]]-Tabela14[[#This Row],[Coluna9]]</f>
        <v>2544.036978614718</v>
      </c>
      <c r="P20" s="20">
        <f>Tabela14[[#This Row],[Coluna12]]*Tabela14[[#This Row],[Coluna14]]/30*Tabela14[[#This Row],[Coluna11]]</f>
        <v>49.099913687264049</v>
      </c>
      <c r="Q20" s="13">
        <f>VLOOKUP(Tabela14[[#This Row],[Coluna7]],'tx média'!A:B,2,TRUE)%</f>
        <v>1.9299999999999998E-2</v>
      </c>
      <c r="R20" s="93" t="str">
        <f>IF(Tabela14[[#This Row],[Coluna8]]/Tabela14[[#This Row],[Coluna14]]&gt;1.2,"Abusivo","Normal")</f>
        <v>Abusivo</v>
      </c>
      <c r="S20" s="18">
        <f>Tabela1[[#This Row],[Coluna4]]</f>
        <v>91.62</v>
      </c>
      <c r="T20" s="20">
        <f t="shared" si="1"/>
        <v>52.575654811429274</v>
      </c>
      <c r="U20" s="18">
        <f>Tabela1[[#This Row],[Coluna3]]</f>
        <v>0</v>
      </c>
      <c r="V20" s="108">
        <f>Tabela14[[#This Row],[Coluna16]]-Tabela14[[#This Row],[Coluna17]]+Tabela14[[#This Row],[Coluna18]]</f>
        <v>39.04434518857073</v>
      </c>
      <c r="W20" s="18">
        <f>W19+Tabela14[[#This Row],[Coluna19]]</f>
        <v>398.64302138528143</v>
      </c>
    </row>
    <row r="21" spans="1:23" x14ac:dyDescent="0.25">
      <c r="A21" s="1">
        <v>8</v>
      </c>
      <c r="B21" s="27">
        <f t="shared" si="0"/>
        <v>43291</v>
      </c>
      <c r="C21" s="8">
        <f t="shared" si="2"/>
        <v>2544.036978614718</v>
      </c>
      <c r="D21" s="8">
        <f>Tabela1[[#This Row],[Coluna2]]</f>
        <v>0</v>
      </c>
      <c r="E21" s="19">
        <v>0</v>
      </c>
      <c r="F21" s="8">
        <f>Tabela1[[#This Row],[Coluna32]]</f>
        <v>7.62</v>
      </c>
      <c r="G21" s="91">
        <f t="shared" si="3"/>
        <v>49.099913687264049</v>
      </c>
      <c r="H21" s="8">
        <f>SUM(Tabela14[[#This Row],[Coluna1]:[Coluna4]])</f>
        <v>2600.7568923019821</v>
      </c>
      <c r="I21" s="8">
        <f>Tabela1[[#This Row],[Coluna6]]</f>
        <v>112.32</v>
      </c>
      <c r="J21" s="9">
        <f>Tabela1[[#This Row],[Coluna7]]</f>
        <v>43291</v>
      </c>
      <c r="K21" s="92">
        <f>Tabela1[[#This Row],[Coluna8]]</f>
        <v>0.03</v>
      </c>
      <c r="L21" s="8">
        <f>Tabela1[[#This Row],[Coluna9]]</f>
        <v>112.32</v>
      </c>
      <c r="M21" s="28">
        <f>Tabela1[[#This Row],[Coluna10]]</f>
        <v>43291</v>
      </c>
      <c r="N21" s="1">
        <f>IF(Tabela14[[#This Row],[Coluna12]]&gt;0,M22-Tabela14[[#This Row],[Coluna10]],Tabela14[[#This Row],[Coluna10]]-Tabela14[[#This Row],[Coluna7]])</f>
        <v>31</v>
      </c>
      <c r="O21" s="18">
        <f>Tabela14[[#This Row],[Coluna5]]-Tabela14[[#This Row],[Coluna9]]</f>
        <v>2488.436892301982</v>
      </c>
      <c r="P21" s="20">
        <f>Tabela14[[#This Row],[Coluna12]]*Tabela14[[#This Row],[Coluna14]]/30*Tabela14[[#This Row],[Coluna11]]</f>
        <v>49.113449464400112</v>
      </c>
      <c r="Q21" s="13">
        <f>VLOOKUP(Tabela14[[#This Row],[Coluna7]],'tx média'!A:B,2,TRUE)%</f>
        <v>1.9099999999999999E-2</v>
      </c>
      <c r="R21" s="93" t="str">
        <f>IF(Tabela14[[#This Row],[Coluna8]]/Tabela14[[#This Row],[Coluna14]]&gt;1.2,"Abusivo","Normal")</f>
        <v>Abusivo</v>
      </c>
      <c r="S21" s="18">
        <f>Tabela1[[#This Row],[Coluna4]]</f>
        <v>88.28</v>
      </c>
      <c r="T21" s="20">
        <f t="shared" si="1"/>
        <v>49.099913687264049</v>
      </c>
      <c r="U21" s="18">
        <f>Tabela1[[#This Row],[Coluna3]]</f>
        <v>0</v>
      </c>
      <c r="V21" s="108">
        <f>Tabela14[[#This Row],[Coluna16]]-Tabela14[[#This Row],[Coluna17]]+Tabela14[[#This Row],[Coluna18]]</f>
        <v>39.180086312735952</v>
      </c>
      <c r="W21" s="18">
        <f>W20+Tabela14[[#This Row],[Coluna19]]</f>
        <v>437.8231076980174</v>
      </c>
    </row>
    <row r="22" spans="1:23" x14ac:dyDescent="0.25">
      <c r="A22" s="1">
        <v>9</v>
      </c>
      <c r="B22" s="27">
        <f t="shared" si="0"/>
        <v>43322</v>
      </c>
      <c r="C22" s="8">
        <f t="shared" si="2"/>
        <v>2488.436892301982</v>
      </c>
      <c r="D22" s="8">
        <f>Tabela1[[#This Row],[Coluna2]]</f>
        <v>0</v>
      </c>
      <c r="E22" s="19">
        <v>0</v>
      </c>
      <c r="F22" s="8">
        <f>Tabela1[[#This Row],[Coluna32]]</f>
        <v>7.79</v>
      </c>
      <c r="G22" s="91">
        <f t="shared" si="3"/>
        <v>49.113449464400112</v>
      </c>
      <c r="H22" s="8">
        <f>SUM(Tabela14[[#This Row],[Coluna1]:[Coluna4]])</f>
        <v>2545.3403417663822</v>
      </c>
      <c r="I22" s="8">
        <f>Tabela1[[#This Row],[Coluna6]]</f>
        <v>112.32</v>
      </c>
      <c r="J22" s="9">
        <f>Tabela1[[#This Row],[Coluna7]]</f>
        <v>43322</v>
      </c>
      <c r="K22" s="92">
        <f>Tabela1[[#This Row],[Coluna8]]</f>
        <v>0.03</v>
      </c>
      <c r="L22" s="8">
        <f>Tabela1[[#This Row],[Coluna9]]</f>
        <v>112.32</v>
      </c>
      <c r="M22" s="28">
        <f>Tabela1[[#This Row],[Coluna10]]</f>
        <v>43322</v>
      </c>
      <c r="N22" s="1">
        <f>IF(Tabela14[[#This Row],[Coluna12]]&gt;0,M23-Tabela14[[#This Row],[Coluna10]],Tabela14[[#This Row],[Coluna10]]-Tabela14[[#This Row],[Coluna7]])</f>
        <v>31</v>
      </c>
      <c r="O22" s="18">
        <f>Tabela14[[#This Row],[Coluna5]]-Tabela14[[#This Row],[Coluna9]]</f>
        <v>2433.020341766382</v>
      </c>
      <c r="P22" s="20">
        <f>Tabela14[[#This Row],[Coluna12]]*Tabela14[[#This Row],[Coluna14]]/30*Tabela14[[#This Row],[Coluna11]]</f>
        <v>47.768299376679963</v>
      </c>
      <c r="Q22" s="13">
        <f>VLOOKUP(Tabela14[[#This Row],[Coluna7]],'tx média'!A:B,2,TRUE)%</f>
        <v>1.9E-2</v>
      </c>
      <c r="R22" s="93" t="str">
        <f>IF(Tabela14[[#This Row],[Coluna8]]/Tabela14[[#This Row],[Coluna14]]&gt;1.2,"Abusivo","Normal")</f>
        <v>Abusivo</v>
      </c>
      <c r="S22" s="18">
        <f>Tabela1[[#This Row],[Coluna4]]</f>
        <v>90.72</v>
      </c>
      <c r="T22" s="20">
        <f t="shared" si="1"/>
        <v>49.113449464400112</v>
      </c>
      <c r="U22" s="18">
        <f>Tabela1[[#This Row],[Coluna3]]</f>
        <v>0</v>
      </c>
      <c r="V22" s="108">
        <f>Tabela14[[#This Row],[Coluna16]]-Tabela14[[#This Row],[Coluna17]]+Tabela14[[#This Row],[Coluna18]]</f>
        <v>41.606550535599887</v>
      </c>
      <c r="W22" s="18">
        <f>W21+Tabela14[[#This Row],[Coluna19]]</f>
        <v>479.42965823361726</v>
      </c>
    </row>
    <row r="23" spans="1:23" x14ac:dyDescent="0.25">
      <c r="A23" s="1">
        <v>10</v>
      </c>
      <c r="B23" s="27">
        <f t="shared" si="0"/>
        <v>43353</v>
      </c>
      <c r="C23" s="8">
        <f t="shared" si="2"/>
        <v>2433.020341766382</v>
      </c>
      <c r="D23" s="8">
        <f>Tabela1[[#This Row],[Coluna2]]</f>
        <v>0</v>
      </c>
      <c r="E23" s="19">
        <v>0</v>
      </c>
      <c r="F23" s="8">
        <f>Tabela1[[#This Row],[Coluna32]]</f>
        <v>7.77</v>
      </c>
      <c r="G23" s="91">
        <f t="shared" si="3"/>
        <v>47.768299376679963</v>
      </c>
      <c r="H23" s="8">
        <f>SUM(Tabela14[[#This Row],[Coluna1]:[Coluna4]])</f>
        <v>2488.5586411430618</v>
      </c>
      <c r="I23" s="8">
        <f>Tabela1[[#This Row],[Coluna6]]</f>
        <v>112.32</v>
      </c>
      <c r="J23" s="9">
        <f>Tabela1[[#This Row],[Coluna7]]</f>
        <v>43353</v>
      </c>
      <c r="K23" s="92">
        <f>Tabela1[[#This Row],[Coluna8]]</f>
        <v>0.03</v>
      </c>
      <c r="L23" s="8">
        <f>Tabela1[[#This Row],[Coluna9]]</f>
        <v>112.32</v>
      </c>
      <c r="M23" s="28">
        <f>Tabela1[[#This Row],[Coluna10]]</f>
        <v>43353</v>
      </c>
      <c r="N23" s="1">
        <f>IF(Tabela14[[#This Row],[Coluna12]]&gt;0,M24-Tabela14[[#This Row],[Coluna10]],Tabela14[[#This Row],[Coluna10]]-Tabela14[[#This Row],[Coluna7]])</f>
        <v>30</v>
      </c>
      <c r="O23" s="18">
        <f>Tabela14[[#This Row],[Coluna5]]-Tabela14[[#This Row],[Coluna9]]</f>
        <v>2376.2386411430616</v>
      </c>
      <c r="P23" s="20">
        <f>Tabela14[[#This Row],[Coluna12]]*Tabela14[[#This Row],[Coluna14]]/30*Tabela14[[#This Row],[Coluna11]]</f>
        <v>44.910910317603864</v>
      </c>
      <c r="Q23" s="13">
        <f>VLOOKUP(Tabela14[[#This Row],[Coluna7]],'tx média'!A:B,2,TRUE)%</f>
        <v>1.89E-2</v>
      </c>
      <c r="R23" s="93" t="str">
        <f>IF(Tabela14[[#This Row],[Coluna8]]/Tabela14[[#This Row],[Coluna14]]&gt;1.2,"Abusivo","Normal")</f>
        <v>Abusivo</v>
      </c>
      <c r="S23" s="18">
        <f>Tabela1[[#This Row],[Coluna4]]</f>
        <v>90.29</v>
      </c>
      <c r="T23" s="20">
        <f t="shared" si="1"/>
        <v>47.768299376679963</v>
      </c>
      <c r="U23" s="18">
        <f>Tabela1[[#This Row],[Coluna3]]</f>
        <v>0</v>
      </c>
      <c r="V23" s="108">
        <f>Tabela14[[#This Row],[Coluna16]]-Tabela14[[#This Row],[Coluna17]]+Tabela14[[#This Row],[Coluna18]]</f>
        <v>42.521700623320044</v>
      </c>
      <c r="W23" s="18">
        <f>W22+Tabela14[[#This Row],[Coluna19]]</f>
        <v>521.9513588569373</v>
      </c>
    </row>
    <row r="24" spans="1:23" x14ac:dyDescent="0.25">
      <c r="A24" s="1">
        <v>11</v>
      </c>
      <c r="B24" s="27">
        <f t="shared" si="0"/>
        <v>43383</v>
      </c>
      <c r="C24" s="8">
        <f>H23-L23</f>
        <v>2376.2386411430616</v>
      </c>
      <c r="D24" s="8">
        <f>Tabela1[[#This Row],[Coluna2]]</f>
        <v>0</v>
      </c>
      <c r="E24" s="19">
        <v>0</v>
      </c>
      <c r="F24" s="8">
        <f>Tabela1[[#This Row],[Coluna32]]</f>
        <v>7.5</v>
      </c>
      <c r="G24" s="91">
        <f t="shared" si="3"/>
        <v>44.910910317603864</v>
      </c>
      <c r="H24" s="8">
        <f>SUM(Tabela14[[#This Row],[Coluna1]:[Coluna4]])</f>
        <v>2428.6495514606654</v>
      </c>
      <c r="I24" s="8">
        <f>Tabela1[[#This Row],[Coluna6]]</f>
        <v>112.32</v>
      </c>
      <c r="J24" s="9">
        <f>Tabela1[[#This Row],[Coluna7]]</f>
        <v>43383</v>
      </c>
      <c r="K24" s="92">
        <f>Tabela1[[#This Row],[Coluna8]]</f>
        <v>0.03</v>
      </c>
      <c r="L24" s="8">
        <f>Tabela1[[#This Row],[Coluna9]]</f>
        <v>112.32</v>
      </c>
      <c r="M24" s="28">
        <f>Tabela1[[#This Row],[Coluna10]]</f>
        <v>43383</v>
      </c>
      <c r="N24" s="1">
        <f>IF(Tabela14[[#This Row],[Coluna12]]&gt;0,M25-Tabela14[[#This Row],[Coluna10]],Tabela14[[#This Row],[Coluna10]]-Tabela14[[#This Row],[Coluna7]])</f>
        <v>31</v>
      </c>
      <c r="O24" s="18">
        <f>Tabela14[[#This Row],[Coluna5]]-Tabela14[[#This Row],[Coluna9]]</f>
        <v>2316.3295514606652</v>
      </c>
      <c r="P24" s="20">
        <f>Tabela14[[#This Row],[Coluna12]]*Tabela14[[#This Row],[Coluna14]]/30*Tabela14[[#This Row],[Coluna11]]</f>
        <v>44.998562086375848</v>
      </c>
      <c r="Q24" s="13">
        <f>VLOOKUP(Tabela14[[#This Row],[Coluna7]],'tx média'!A:B,2,TRUE)%</f>
        <v>1.8799999999999997E-2</v>
      </c>
      <c r="R24" s="93" t="str">
        <f>IF(Tabela14[[#This Row],[Coluna8]]/Tabela14[[#This Row],[Coluna14]]&gt;1.2,"Abusivo","Normal")</f>
        <v>Abusivo</v>
      </c>
      <c r="S24" s="18">
        <f>Tabela1[[#This Row],[Coluna4]]</f>
        <v>86.95</v>
      </c>
      <c r="T24" s="20">
        <f t="shared" si="1"/>
        <v>44.910910317603864</v>
      </c>
      <c r="U24" s="18">
        <f>Tabela1[[#This Row],[Coluna3]]</f>
        <v>0</v>
      </c>
      <c r="V24" s="108">
        <f>Tabela14[[#This Row],[Coluna16]]-Tabela14[[#This Row],[Coluna17]]+Tabela14[[#This Row],[Coluna18]]</f>
        <v>42.039089682396138</v>
      </c>
      <c r="W24" s="18">
        <f>W23+Tabela14[[#This Row],[Coluna19]]</f>
        <v>563.99044853933344</v>
      </c>
    </row>
    <row r="25" spans="1:23" x14ac:dyDescent="0.25">
      <c r="A25" s="1">
        <v>12</v>
      </c>
      <c r="B25" s="27">
        <f t="shared" si="0"/>
        <v>43414</v>
      </c>
      <c r="C25" s="8">
        <f>H24-L24</f>
        <v>2316.3295514606652</v>
      </c>
      <c r="D25" s="8">
        <f>Tabela1[[#This Row],[Coluna2]]</f>
        <v>0</v>
      </c>
      <c r="E25" s="19">
        <v>0</v>
      </c>
      <c r="F25" s="8">
        <f>Tabela1[[#This Row],[Coluna32]]</f>
        <v>7.68</v>
      </c>
      <c r="G25" s="91">
        <f t="shared" si="3"/>
        <v>44.998562086375848</v>
      </c>
      <c r="H25" s="8">
        <f>SUM(Tabela14[[#This Row],[Coluna1]:[Coluna4]])</f>
        <v>2369.0081135470409</v>
      </c>
      <c r="I25" s="8">
        <f>Tabela1[[#This Row],[Coluna6]]</f>
        <v>112.32</v>
      </c>
      <c r="J25" s="9">
        <f>Tabela1[[#This Row],[Coluna7]]</f>
        <v>43414</v>
      </c>
      <c r="K25" s="92">
        <f>Tabela1[[#This Row],[Coluna8]]</f>
        <v>0.03</v>
      </c>
      <c r="L25" s="8">
        <f>Tabela1[[#This Row],[Coluna9]]</f>
        <v>112.32</v>
      </c>
      <c r="M25" s="28">
        <f>Tabela1[[#This Row],[Coluna10]]</f>
        <v>43414</v>
      </c>
      <c r="N25" s="1">
        <f>IF(Tabela14[[#This Row],[Coluna12]]&gt;0,M26-Tabela14[[#This Row],[Coluna10]],Tabela14[[#This Row],[Coluna10]]-Tabela14[[#This Row],[Coluna7]])</f>
        <v>30</v>
      </c>
      <c r="O25" s="18">
        <f>Tabela14[[#This Row],[Coluna5]]-Tabela14[[#This Row],[Coluna9]]</f>
        <v>2256.6881135470408</v>
      </c>
      <c r="P25" s="20">
        <f>Tabela14[[#This Row],[Coluna12]]*Tabela14[[#This Row],[Coluna14]]/30*Tabela14[[#This Row],[Coluna11]]</f>
        <v>42.425736534684361</v>
      </c>
      <c r="Q25" s="13">
        <f>VLOOKUP(Tabela14[[#This Row],[Coluna7]],'tx média'!A:B,2,TRUE)%</f>
        <v>1.8799999999999997E-2</v>
      </c>
      <c r="R25" s="93" t="str">
        <f>IF(Tabela14[[#This Row],[Coluna8]]/Tabela14[[#This Row],[Coluna14]]&gt;1.2,"Abusivo","Normal")</f>
        <v>Abusivo</v>
      </c>
      <c r="S25" s="18">
        <f>Tabela1[[#This Row],[Coluna4]]</f>
        <v>89.29</v>
      </c>
      <c r="T25" s="20">
        <f t="shared" si="1"/>
        <v>44.998562086375848</v>
      </c>
      <c r="U25" s="18">
        <f>Tabela1[[#This Row],[Coluna3]]</f>
        <v>0</v>
      </c>
      <c r="V25" s="108">
        <f>Tabela14[[#This Row],[Coluna16]]-Tabela14[[#This Row],[Coluna17]]+Tabela14[[#This Row],[Coluna18]]</f>
        <v>44.291437913624158</v>
      </c>
      <c r="W25" s="18">
        <f>W24+Tabela14[[#This Row],[Coluna19]]</f>
        <v>608.28188645295756</v>
      </c>
    </row>
    <row r="26" spans="1:23" x14ac:dyDescent="0.25">
      <c r="A26" s="1">
        <v>13</v>
      </c>
      <c r="B26" s="27">
        <f t="shared" si="0"/>
        <v>43444</v>
      </c>
      <c r="C26" s="8">
        <f>H25-L25</f>
        <v>2256.6881135470408</v>
      </c>
      <c r="D26" s="8">
        <f>Tabela1[[#This Row],[Coluna2]]</f>
        <v>0</v>
      </c>
      <c r="E26" s="19">
        <v>0</v>
      </c>
      <c r="F26" s="8">
        <f>Tabela1[[#This Row],[Coluna32]]</f>
        <v>7.42</v>
      </c>
      <c r="G26" s="91">
        <f t="shared" si="3"/>
        <v>42.425736534684361</v>
      </c>
      <c r="H26" s="8">
        <f>SUM(Tabela14[[#This Row],[Coluna1]:[Coluna4]])</f>
        <v>2306.5338500817252</v>
      </c>
      <c r="I26" s="8">
        <f>Tabela1[[#This Row],[Coluna6]]</f>
        <v>112.32</v>
      </c>
      <c r="J26" s="9">
        <f>Tabela1[[#This Row],[Coluna7]]</f>
        <v>43444</v>
      </c>
      <c r="K26" s="92">
        <f>Tabela1[[#This Row],[Coluna8]]</f>
        <v>0.03</v>
      </c>
      <c r="L26" s="8">
        <f>Tabela1[[#This Row],[Coluna9]]</f>
        <v>112.32</v>
      </c>
      <c r="M26" s="28">
        <f>Tabela1[[#This Row],[Coluna10]]</f>
        <v>43444</v>
      </c>
      <c r="N26" s="1">
        <f>IF(Tabela14[[#This Row],[Coluna12]]&gt;0,M27-Tabela14[[#This Row],[Coluna10]],Tabela14[[#This Row],[Coluna10]]-Tabela14[[#This Row],[Coluna7]])</f>
        <v>31</v>
      </c>
      <c r="O26" s="18">
        <f>Tabela14[[#This Row],[Coluna5]]-Tabela14[[#This Row],[Coluna9]]</f>
        <v>2194.213850081725</v>
      </c>
      <c r="P26" s="20">
        <f>Tabela14[[#This Row],[Coluna12]]*Tabela14[[#This Row],[Coluna14]]/30*Tabela14[[#This Row],[Coluna11]]</f>
        <v>43.079731923271204</v>
      </c>
      <c r="Q26" s="13">
        <f>VLOOKUP(Tabela14[[#This Row],[Coluna7]],'tx média'!A:B,2,TRUE)%</f>
        <v>1.9E-2</v>
      </c>
      <c r="R26" s="93" t="str">
        <f>IF(Tabela14[[#This Row],[Coluna8]]/Tabela14[[#This Row],[Coluna14]]&gt;1.2,"Abusivo","Normal")</f>
        <v>Abusivo</v>
      </c>
      <c r="S26" s="18">
        <f>Tabela1[[#This Row],[Coluna4]]</f>
        <v>85.95</v>
      </c>
      <c r="T26" s="20">
        <f t="shared" si="1"/>
        <v>42.425736534684361</v>
      </c>
      <c r="U26" s="18">
        <f>Tabela1[[#This Row],[Coluna3]]</f>
        <v>145.58000000000001</v>
      </c>
      <c r="V26" s="108">
        <f>Tabela14[[#This Row],[Coluna16]]-Tabela14[[#This Row],[Coluna17]]+Tabela14[[#This Row],[Coluna18]]</f>
        <v>189.10426346531565</v>
      </c>
      <c r="W26" s="18">
        <f>W25+Tabela14[[#This Row],[Coluna19]]</f>
        <v>797.38614991827319</v>
      </c>
    </row>
    <row r="27" spans="1:23" x14ac:dyDescent="0.25">
      <c r="A27" s="1">
        <v>14</v>
      </c>
      <c r="B27" s="27">
        <f t="shared" si="0"/>
        <v>43475</v>
      </c>
      <c r="C27" s="8">
        <f>H26-L26</f>
        <v>2194.213850081725</v>
      </c>
      <c r="D27" s="8">
        <f>Tabela1[[#This Row],[Coluna2]]</f>
        <v>0</v>
      </c>
      <c r="E27" s="19">
        <v>0</v>
      </c>
      <c r="F27" s="8">
        <f>Tabela1[[#This Row],[Coluna32]]</f>
        <v>7.58</v>
      </c>
      <c r="G27" s="91">
        <f t="shared" si="3"/>
        <v>43.079731923271204</v>
      </c>
      <c r="H27" s="8">
        <f>SUM(Tabela14[[#This Row],[Coluna1]:[Coluna4]])</f>
        <v>2244.873582004996</v>
      </c>
      <c r="I27" s="8">
        <f>Tabela1[[#This Row],[Coluna6]]</f>
        <v>112.32</v>
      </c>
      <c r="J27" s="9">
        <f>Tabela1[[#This Row],[Coluna7]]</f>
        <v>43475</v>
      </c>
      <c r="K27" s="92">
        <f>Tabela1[[#This Row],[Coluna8]]</f>
        <v>0.03</v>
      </c>
      <c r="L27" s="8">
        <f>Tabela1[[#This Row],[Coluna9]]</f>
        <v>112.32</v>
      </c>
      <c r="M27" s="28">
        <f>Tabela1[[#This Row],[Coluna10]]</f>
        <v>43475</v>
      </c>
      <c r="N27" s="1">
        <f>IF(Tabela14[[#This Row],[Coluna12]]&gt;0,M28-Tabela14[[#This Row],[Coluna10]],Tabela14[[#This Row],[Coluna10]]-Tabela14[[#This Row],[Coluna7]])</f>
        <v>31</v>
      </c>
      <c r="O27" s="18">
        <f>Tabela14[[#This Row],[Coluna5]]-Tabela14[[#This Row],[Coluna9]]</f>
        <v>2132.5535820049959</v>
      </c>
      <c r="P27" s="20">
        <f>Tabela14[[#This Row],[Coluna12]]*Tabela14[[#This Row],[Coluna14]]/30*Tabela14[[#This Row],[Coluna11]]</f>
        <v>41.869135326698078</v>
      </c>
      <c r="Q27" s="13">
        <f>VLOOKUP(Tabela14[[#This Row],[Coluna7]],'tx média'!A:B,2,TRUE)%</f>
        <v>1.9E-2</v>
      </c>
      <c r="R27" s="93" t="str">
        <f>IF(Tabela14[[#This Row],[Coluna8]]/Tabela14[[#This Row],[Coluna14]]&gt;1.2,"Abusivo","Normal")</f>
        <v>Abusivo</v>
      </c>
      <c r="S27" s="18">
        <f>Tabela1[[#This Row],[Coluna4]]</f>
        <v>92.74</v>
      </c>
      <c r="T27" s="20">
        <f t="shared" si="1"/>
        <v>43.079731923271204</v>
      </c>
      <c r="U27" s="18">
        <f>Tabela1[[#This Row],[Coluna3]]</f>
        <v>0</v>
      </c>
      <c r="V27" s="108">
        <f>Tabela14[[#This Row],[Coluna16]]-Tabela14[[#This Row],[Coluna17]]+Tabela14[[#This Row],[Coluna18]]</f>
        <v>49.660268076728791</v>
      </c>
      <c r="W27" s="18">
        <f>W26+Tabela14[[#This Row],[Coluna19]]</f>
        <v>847.046417995002</v>
      </c>
    </row>
    <row r="28" spans="1:23" x14ac:dyDescent="0.25">
      <c r="A28" s="1">
        <v>15</v>
      </c>
      <c r="B28" s="27">
        <f t="shared" si="0"/>
        <v>43506</v>
      </c>
      <c r="C28" s="8">
        <f>H27-L27</f>
        <v>2132.5535820049959</v>
      </c>
      <c r="D28" s="8">
        <f>Tabela1[[#This Row],[Coluna2]]</f>
        <v>0</v>
      </c>
      <c r="E28" s="19">
        <v>0</v>
      </c>
      <c r="F28" s="8">
        <f>Tabela1[[#This Row],[Coluna32]]</f>
        <v>7.85</v>
      </c>
      <c r="G28" s="91">
        <f t="shared" si="3"/>
        <v>41.869135326698078</v>
      </c>
      <c r="H28" s="8">
        <f>SUM(Tabela14[[#This Row],[Coluna1]:[Coluna4]])</f>
        <v>2182.2727173316939</v>
      </c>
      <c r="I28" s="8">
        <f>Tabela1[[#This Row],[Coluna6]]</f>
        <v>112.32</v>
      </c>
      <c r="J28" s="9">
        <f>Tabela1[[#This Row],[Coluna7]]</f>
        <v>43506</v>
      </c>
      <c r="K28" s="92">
        <f>Tabela1[[#This Row],[Coluna8]]</f>
        <v>0.03</v>
      </c>
      <c r="L28" s="8">
        <f>Tabela1[[#This Row],[Coluna9]]</f>
        <v>112.32</v>
      </c>
      <c r="M28" s="28">
        <f>Tabela1[[#This Row],[Coluna10]]</f>
        <v>43506</v>
      </c>
      <c r="N28" s="1">
        <f>IF(Tabela14[[#This Row],[Coluna12]]&gt;0,M29-Tabela14[[#This Row],[Coluna10]],Tabela14[[#This Row],[Coluna10]]-Tabela14[[#This Row],[Coluna7]])</f>
        <v>28</v>
      </c>
      <c r="O28" s="18">
        <f>Tabela14[[#This Row],[Coluna5]]-Tabela14[[#This Row],[Coluna9]]</f>
        <v>2069.9527173316937</v>
      </c>
      <c r="P28" s="20">
        <f>Tabela14[[#This Row],[Coluna12]]*Tabela14[[#This Row],[Coluna14]]/30*Tabela14[[#This Row],[Coluna11]]</f>
        <v>36.707161520682035</v>
      </c>
      <c r="Q28" s="13">
        <f>VLOOKUP(Tabela14[[#This Row],[Coluna7]],'tx média'!A:B,2,TRUE)%</f>
        <v>1.9E-2</v>
      </c>
      <c r="R28" s="93" t="str">
        <f>IF(Tabela14[[#This Row],[Coluna8]]/Tabela14[[#This Row],[Coluna14]]&gt;1.2,"Abusivo","Normal")</f>
        <v>Abusivo</v>
      </c>
      <c r="S28" s="18">
        <f>Tabela1[[#This Row],[Coluna4]]</f>
        <v>92.37</v>
      </c>
      <c r="T28" s="20">
        <f t="shared" si="1"/>
        <v>41.869135326698078</v>
      </c>
      <c r="U28" s="18">
        <f>Tabela1[[#This Row],[Coluna3]]</f>
        <v>0</v>
      </c>
      <c r="V28" s="108">
        <f>Tabela14[[#This Row],[Coluna16]]-Tabela14[[#This Row],[Coluna17]]+Tabela14[[#This Row],[Coluna18]]</f>
        <v>50.500864673301926</v>
      </c>
      <c r="W28" s="18">
        <f>W27+Tabela14[[#This Row],[Coluna19]]</f>
        <v>897.54728266830398</v>
      </c>
    </row>
    <row r="29" spans="1:23" x14ac:dyDescent="0.25">
      <c r="A29" s="1">
        <v>16</v>
      </c>
      <c r="B29" s="27">
        <f t="shared" si="0"/>
        <v>43534</v>
      </c>
      <c r="C29" s="8">
        <f t="shared" si="2"/>
        <v>2069.9527173316937</v>
      </c>
      <c r="D29" s="8">
        <f>Tabela1[[#This Row],[Coluna2]]</f>
        <v>0</v>
      </c>
      <c r="E29" s="19">
        <v>0</v>
      </c>
      <c r="F29" s="8">
        <f>Tabela1[[#This Row],[Coluna32]]</f>
        <v>7.2</v>
      </c>
      <c r="G29" s="91">
        <f t="shared" si="3"/>
        <v>36.707161520682035</v>
      </c>
      <c r="H29" s="8">
        <f>SUM(Tabela14[[#This Row],[Coluna1]:[Coluna4]])</f>
        <v>2113.8598788523755</v>
      </c>
      <c r="I29" s="8">
        <f>Tabela1[[#This Row],[Coluna6]]</f>
        <v>112.32</v>
      </c>
      <c r="J29" s="9">
        <f>Tabela1[[#This Row],[Coluna7]]</f>
        <v>43534</v>
      </c>
      <c r="K29" s="92">
        <f>Tabela1[[#This Row],[Coluna8]]</f>
        <v>0.03</v>
      </c>
      <c r="L29" s="8">
        <f>Tabela1[[#This Row],[Coluna9]]</f>
        <v>112.32</v>
      </c>
      <c r="M29" s="28">
        <f>Tabela1[[#This Row],[Coluna10]]</f>
        <v>43534</v>
      </c>
      <c r="N29" s="1">
        <f>IF(Tabela14[[#This Row],[Coluna12]]&gt;0,M30-Tabela14[[#This Row],[Coluna10]],Tabela14[[#This Row],[Coluna10]]-Tabela14[[#This Row],[Coluna7]])</f>
        <v>31</v>
      </c>
      <c r="O29" s="18">
        <f>Tabela14[[#This Row],[Coluna5]]-Tabela14[[#This Row],[Coluna9]]</f>
        <v>2001.5398788523755</v>
      </c>
      <c r="P29" s="20">
        <f>Tabela14[[#This Row],[Coluna12]]*Tabela14[[#This Row],[Coluna14]]/30*Tabela14[[#This Row],[Coluna11]]</f>
        <v>38.883248046505479</v>
      </c>
      <c r="Q29" s="13">
        <f>VLOOKUP(Tabela14[[#This Row],[Coluna7]],'tx média'!A:B,2,TRUE)%</f>
        <v>1.8799999999999997E-2</v>
      </c>
      <c r="R29" s="93" t="str">
        <f>IF(Tabela14[[#This Row],[Coluna8]]/Tabela14[[#This Row],[Coluna14]]&gt;1.2,"Abusivo","Normal")</f>
        <v>Abusivo</v>
      </c>
      <c r="S29" s="18">
        <f>Tabela1[[#This Row],[Coluna4]]</f>
        <v>83.09</v>
      </c>
      <c r="T29" s="20">
        <f t="shared" si="1"/>
        <v>36.707161520682035</v>
      </c>
      <c r="U29" s="18">
        <f>Tabela1[[#This Row],[Coluna3]]</f>
        <v>0</v>
      </c>
      <c r="V29" s="108">
        <f>Tabela14[[#This Row],[Coluna16]]-Tabela14[[#This Row],[Coluna17]]+Tabela14[[#This Row],[Coluna18]]</f>
        <v>46.382838479317968</v>
      </c>
      <c r="W29" s="18">
        <f>W28+Tabela14[[#This Row],[Coluna19]]</f>
        <v>943.930121147622</v>
      </c>
    </row>
    <row r="30" spans="1:23" x14ac:dyDescent="0.25">
      <c r="A30" s="1">
        <v>17</v>
      </c>
      <c r="B30" s="27">
        <f t="shared" si="0"/>
        <v>43565</v>
      </c>
      <c r="C30" s="8">
        <f t="shared" si="2"/>
        <v>2001.5398788523755</v>
      </c>
      <c r="D30" s="8">
        <f>Tabela1[[#This Row],[Coluna2]]</f>
        <v>0</v>
      </c>
      <c r="E30" s="19">
        <v>0</v>
      </c>
      <c r="F30" s="8">
        <f>Tabela1[[#This Row],[Coluna32]]</f>
        <v>7.49</v>
      </c>
      <c r="G30" s="91">
        <f t="shared" si="3"/>
        <v>38.883248046505479</v>
      </c>
      <c r="H30" s="8">
        <f>SUM(Tabela14[[#This Row],[Coluna1]:[Coluna4]])</f>
        <v>2047.913126898881</v>
      </c>
      <c r="I30" s="8">
        <f>Tabela1[[#This Row],[Coluna6]]</f>
        <v>112.32</v>
      </c>
      <c r="J30" s="9">
        <f>Tabela1[[#This Row],[Coluna7]]</f>
        <v>43565</v>
      </c>
      <c r="K30" s="92">
        <f>Tabela1[[#This Row],[Coluna8]]</f>
        <v>0.03</v>
      </c>
      <c r="L30" s="8">
        <f>Tabela1[[#This Row],[Coluna9]]</f>
        <v>112.32</v>
      </c>
      <c r="M30" s="28">
        <f>Tabela1[[#This Row],[Coluna10]]</f>
        <v>43565</v>
      </c>
      <c r="N30" s="1">
        <f>IF(Tabela14[[#This Row],[Coluna12]]&gt;0,M31-Tabela14[[#This Row],[Coluna10]],Tabela14[[#This Row],[Coluna10]]-Tabela14[[#This Row],[Coluna7]])</f>
        <v>30</v>
      </c>
      <c r="O30" s="18">
        <f>Tabela14[[#This Row],[Coluna5]]-Tabela14[[#This Row],[Coluna9]]</f>
        <v>1935.5931268988811</v>
      </c>
      <c r="P30" s="20">
        <f>Tabela14[[#This Row],[Coluna12]]*Tabela14[[#This Row],[Coluna14]]/30*Tabela14[[#This Row],[Coluna11]]</f>
        <v>35.808472847629304</v>
      </c>
      <c r="Q30" s="13">
        <f>VLOOKUP(Tabela14[[#This Row],[Coluna7]],'tx média'!A:B,2,TRUE)%</f>
        <v>1.8500000000000003E-2</v>
      </c>
      <c r="R30" s="93" t="str">
        <f>IF(Tabela14[[#This Row],[Coluna8]]/Tabela14[[#This Row],[Coluna14]]&gt;1.2,"Abusivo","Normal")</f>
        <v>Abusivo</v>
      </c>
      <c r="S30" s="18">
        <f>Tabela1[[#This Row],[Coluna4]]</f>
        <v>91.66</v>
      </c>
      <c r="T30" s="20">
        <f t="shared" si="1"/>
        <v>38.883248046505479</v>
      </c>
      <c r="U30" s="18">
        <f>Tabela1[[#This Row],[Coluna3]]</f>
        <v>0</v>
      </c>
      <c r="V30" s="108">
        <f>Tabela14[[#This Row],[Coluna16]]-Tabela14[[#This Row],[Coluna17]]+Tabela14[[#This Row],[Coluna18]]</f>
        <v>52.776751953494518</v>
      </c>
      <c r="W30" s="18">
        <f>W29+Tabela14[[#This Row],[Coluna19]]</f>
        <v>996.70687310111657</v>
      </c>
    </row>
    <row r="31" spans="1:23" x14ac:dyDescent="0.25">
      <c r="A31" s="1">
        <v>18</v>
      </c>
      <c r="B31" s="27">
        <f t="shared" si="0"/>
        <v>43595</v>
      </c>
      <c r="C31" s="8">
        <f t="shared" si="2"/>
        <v>1935.5931268988811</v>
      </c>
      <c r="D31" s="8">
        <f>Tabela1[[#This Row],[Coluna2]]</f>
        <v>0</v>
      </c>
      <c r="E31" s="19">
        <v>0</v>
      </c>
      <c r="F31" s="8">
        <f>Tabela1[[#This Row],[Coluna32]]</f>
        <v>7.6</v>
      </c>
      <c r="G31" s="91">
        <f t="shared" si="3"/>
        <v>35.808472847629304</v>
      </c>
      <c r="H31" s="8">
        <f>SUM(Tabela14[[#This Row],[Coluna1]:[Coluna4]])</f>
        <v>1979.0015997465102</v>
      </c>
      <c r="I31" s="8">
        <f>Tabela1[[#This Row],[Coluna6]]</f>
        <v>112.32</v>
      </c>
      <c r="J31" s="9">
        <f>Tabela1[[#This Row],[Coluna7]]</f>
        <v>43595</v>
      </c>
      <c r="K31" s="92">
        <f>Tabela1[[#This Row],[Coluna8]]</f>
        <v>0.03</v>
      </c>
      <c r="L31" s="8">
        <f>Tabela1[[#This Row],[Coluna9]]</f>
        <v>112.32</v>
      </c>
      <c r="M31" s="28">
        <f>Tabela1[[#This Row],[Coluna10]]</f>
        <v>43595</v>
      </c>
      <c r="N31" s="1">
        <f>IF(Tabela14[[#This Row],[Coluna12]]&gt;0,M32-Tabela14[[#This Row],[Coluna10]],Tabela14[[#This Row],[Coluna10]]-Tabela14[[#This Row],[Coluna7]])</f>
        <v>31</v>
      </c>
      <c r="O31" s="18">
        <f>Tabela14[[#This Row],[Coluna5]]-Tabela14[[#This Row],[Coluna9]]</f>
        <v>1866.6815997465103</v>
      </c>
      <c r="P31" s="20">
        <f>Tabela14[[#This Row],[Coluna12]]*Tabela14[[#This Row],[Coluna14]]/30*Tabela14[[#This Row],[Coluna11]]</f>
        <v>35.491839483180314</v>
      </c>
      <c r="Q31" s="13">
        <f>VLOOKUP(Tabela14[[#This Row],[Coluna7]],'tx média'!A:B,2,TRUE)%</f>
        <v>1.84E-2</v>
      </c>
      <c r="R31" s="93" t="str">
        <f>IF(Tabela14[[#This Row],[Coluna8]]/Tabela14[[#This Row],[Coluna14]]&gt;1.2,"Abusivo","Normal")</f>
        <v>Abusivo</v>
      </c>
      <c r="S31" s="18">
        <f>Tabela1[[#This Row],[Coluna4]]</f>
        <v>87.97</v>
      </c>
      <c r="T31" s="20">
        <f t="shared" si="1"/>
        <v>35.808472847629304</v>
      </c>
      <c r="U31" s="18">
        <f>Tabela1[[#This Row],[Coluna3]]</f>
        <v>0</v>
      </c>
      <c r="V31" s="108">
        <f>Tabela14[[#This Row],[Coluna16]]-Tabela14[[#This Row],[Coluna17]]+Tabela14[[#This Row],[Coluna18]]</f>
        <v>52.161527152370695</v>
      </c>
      <c r="W31" s="18">
        <f>W30+Tabela14[[#This Row],[Coluna19]]</f>
        <v>1048.8684002534874</v>
      </c>
    </row>
    <row r="32" spans="1:23" x14ac:dyDescent="0.25">
      <c r="A32" s="1">
        <v>19</v>
      </c>
      <c r="B32" s="27">
        <f t="shared" si="0"/>
        <v>43626</v>
      </c>
      <c r="C32" s="8">
        <f t="shared" si="2"/>
        <v>1866.6815997465103</v>
      </c>
      <c r="D32" s="8">
        <f>Tabela1[[#This Row],[Coluna2]]</f>
        <v>0</v>
      </c>
      <c r="E32" s="19">
        <v>0</v>
      </c>
      <c r="F32" s="8">
        <f>Tabela1[[#This Row],[Coluna32]]</f>
        <v>7.77</v>
      </c>
      <c r="G32" s="91">
        <f t="shared" si="3"/>
        <v>35.491839483180314</v>
      </c>
      <c r="H32" s="8">
        <f>SUM(Tabela14[[#This Row],[Coluna1]:[Coluna4]])</f>
        <v>1909.9434392296905</v>
      </c>
      <c r="I32" s="8">
        <f>Tabela1[[#This Row],[Coluna6]]</f>
        <v>112.32</v>
      </c>
      <c r="J32" s="9">
        <f>Tabela1[[#This Row],[Coluna7]]</f>
        <v>43626</v>
      </c>
      <c r="K32" s="92">
        <f>Tabela1[[#This Row],[Coluna8]]</f>
        <v>0.03</v>
      </c>
      <c r="L32" s="8">
        <f>Tabela1[[#This Row],[Coluna9]]</f>
        <v>112.32</v>
      </c>
      <c r="M32" s="28">
        <f>Tabela1[[#This Row],[Coluna10]]</f>
        <v>43626</v>
      </c>
      <c r="N32" s="1">
        <f>IF(Tabela14[[#This Row],[Coluna12]]&gt;0,M33-Tabela14[[#This Row],[Coluna10]],Tabela14[[#This Row],[Coluna10]]-Tabela14[[#This Row],[Coluna7]])</f>
        <v>30</v>
      </c>
      <c r="O32" s="18">
        <f>Tabela14[[#This Row],[Coluna5]]-Tabela14[[#This Row],[Coluna9]]</f>
        <v>1797.6234392296906</v>
      </c>
      <c r="P32" s="20">
        <f>Tabela14[[#This Row],[Coluna12]]*Tabela14[[#This Row],[Coluna14]]/30*Tabela14[[#This Row],[Coluna11]]</f>
        <v>32.536984250057401</v>
      </c>
      <c r="Q32" s="13">
        <f>VLOOKUP(Tabela14[[#This Row],[Coluna7]],'tx média'!A:B,2,TRUE)%</f>
        <v>1.8100000000000002E-2</v>
      </c>
      <c r="R32" s="93" t="str">
        <f>IF(Tabela14[[#This Row],[Coluna8]]/Tabela14[[#This Row],[Coluna14]]&gt;1.2,"Abusivo","Normal")</f>
        <v>Abusivo</v>
      </c>
      <c r="S32" s="18">
        <f>Tabela1[[#This Row],[Coluna4]]</f>
        <v>90.38</v>
      </c>
      <c r="T32" s="20">
        <f t="shared" si="1"/>
        <v>35.491839483180314</v>
      </c>
      <c r="U32" s="18">
        <f>Tabela1[[#This Row],[Coluna3]]</f>
        <v>0</v>
      </c>
      <c r="V32" s="108">
        <f>Tabela14[[#This Row],[Coluna16]]-Tabela14[[#This Row],[Coluna17]]+Tabela14[[#This Row],[Coluna18]]</f>
        <v>54.888160516819681</v>
      </c>
      <c r="W32" s="18">
        <f>W31+Tabela14[[#This Row],[Coluna19]]</f>
        <v>1103.756560770307</v>
      </c>
    </row>
    <row r="33" spans="1:23" x14ac:dyDescent="0.25">
      <c r="A33" s="1">
        <v>20</v>
      </c>
      <c r="B33" s="27">
        <f t="shared" si="0"/>
        <v>43656</v>
      </c>
      <c r="C33" s="8">
        <f>H32-L32</f>
        <v>1797.6234392296906</v>
      </c>
      <c r="D33" s="8">
        <f>Tabela1[[#This Row],[Coluna2]]</f>
        <v>0</v>
      </c>
      <c r="E33" s="19">
        <v>0</v>
      </c>
      <c r="F33" s="8">
        <f>Tabela1[[#This Row],[Coluna32]]</f>
        <v>7.51</v>
      </c>
      <c r="G33" s="91">
        <f t="shared" si="3"/>
        <v>32.536984250057401</v>
      </c>
      <c r="H33" s="8">
        <f>SUM(Tabela14[[#This Row],[Coluna1]:[Coluna4]])</f>
        <v>1837.670423479748</v>
      </c>
      <c r="I33" s="8">
        <f>Tabela1[[#This Row],[Coluna6]]</f>
        <v>112.32</v>
      </c>
      <c r="J33" s="9">
        <f>Tabela1[[#This Row],[Coluna7]]</f>
        <v>43656</v>
      </c>
      <c r="K33" s="92">
        <f>Tabela1[[#This Row],[Coluna8]]</f>
        <v>0.03</v>
      </c>
      <c r="L33" s="8">
        <f>Tabela1[[#This Row],[Coluna9]]</f>
        <v>112.32</v>
      </c>
      <c r="M33" s="28">
        <f>Tabela1[[#This Row],[Coluna10]]</f>
        <v>43656</v>
      </c>
      <c r="N33" s="1">
        <f>IF(Tabela14[[#This Row],[Coluna12]]&gt;0,M34-Tabela14[[#This Row],[Coluna10]],Tabela14[[#This Row],[Coluna10]]-Tabela14[[#This Row],[Coluna7]])</f>
        <v>31</v>
      </c>
      <c r="O33" s="18">
        <f>Tabela14[[#This Row],[Coluna5]]-Tabela14[[#This Row],[Coluna9]]</f>
        <v>1725.3504234797481</v>
      </c>
      <c r="P33" s="20">
        <f>Tabela14[[#This Row],[Coluna12]]*Tabela14[[#This Row],[Coluna14]]/30*Tabela14[[#This Row],[Coluna11]]</f>
        <v>32.091517876723316</v>
      </c>
      <c r="Q33" s="13">
        <f>VLOOKUP(Tabela14[[#This Row],[Coluna7]],'tx média'!A:B,2,TRUE)%</f>
        <v>1.8000000000000002E-2</v>
      </c>
      <c r="R33" s="93" t="str">
        <f>IF(Tabela14[[#This Row],[Coluna8]]/Tabela14[[#This Row],[Coluna14]]&gt;1.2,"Abusivo","Normal")</f>
        <v>Abusivo</v>
      </c>
      <c r="S33" s="18">
        <f>Tabela1[[#This Row],[Coluna4]]</f>
        <v>87.04</v>
      </c>
      <c r="T33" s="20">
        <f t="shared" si="1"/>
        <v>32.536984250057401</v>
      </c>
      <c r="U33" s="18">
        <f>Tabela1[[#This Row],[Coluna3]]</f>
        <v>0</v>
      </c>
      <c r="V33" s="108">
        <f>Tabela14[[#This Row],[Coluna16]]-Tabela14[[#This Row],[Coluna17]]+Tabela14[[#This Row],[Coluna18]]</f>
        <v>54.503015749942605</v>
      </c>
      <c r="W33" s="18">
        <f>W32+Tabela14[[#This Row],[Coluna19]]</f>
        <v>1158.2595765202495</v>
      </c>
    </row>
    <row r="34" spans="1:23" x14ac:dyDescent="0.25">
      <c r="A34" s="1">
        <v>21</v>
      </c>
      <c r="B34" s="27">
        <f t="shared" si="0"/>
        <v>43687</v>
      </c>
      <c r="C34" s="8">
        <f>H33-L33</f>
        <v>1725.3504234797481</v>
      </c>
      <c r="D34" s="8">
        <f>Tabela1[[#This Row],[Coluna2]]</f>
        <v>0</v>
      </c>
      <c r="E34" s="19">
        <v>0</v>
      </c>
      <c r="F34" s="8">
        <f>Tabela1[[#This Row],[Coluna32]]</f>
        <v>7.69</v>
      </c>
      <c r="G34" s="91">
        <f t="shared" si="3"/>
        <v>32.091517876723316</v>
      </c>
      <c r="H34" s="8">
        <f>SUM(Tabela14[[#This Row],[Coluna1]:[Coluna4]])</f>
        <v>1765.1319413564715</v>
      </c>
      <c r="I34" s="8">
        <f>Tabela1[[#This Row],[Coluna6]]</f>
        <v>112.32</v>
      </c>
      <c r="J34" s="9">
        <f>Tabela1[[#This Row],[Coluna7]]</f>
        <v>43687</v>
      </c>
      <c r="K34" s="92">
        <f>Tabela1[[#This Row],[Coluna8]]</f>
        <v>0.03</v>
      </c>
      <c r="L34" s="8">
        <f>Tabela1[[#This Row],[Coluna9]]</f>
        <v>112.32</v>
      </c>
      <c r="M34" s="28">
        <f>Tabela1[[#This Row],[Coluna10]]</f>
        <v>43687</v>
      </c>
      <c r="N34" s="1">
        <f>IF(Tabela14[[#This Row],[Coluna12]]&gt;0,M35-Tabela14[[#This Row],[Coluna10]],Tabela14[[#This Row],[Coluna10]]-Tabela14[[#This Row],[Coluna7]])</f>
        <v>31</v>
      </c>
      <c r="O34" s="18">
        <f>Tabela14[[#This Row],[Coluna5]]-Tabela14[[#This Row],[Coluna9]]</f>
        <v>1652.8119413564716</v>
      </c>
      <c r="P34" s="20">
        <f>Tabela14[[#This Row],[Coluna12]]*Tabela14[[#This Row],[Coluna14]]/30*Tabela14[[#This Row],[Coluna11]]</f>
        <v>30.400720974683367</v>
      </c>
      <c r="Q34" s="13">
        <f>VLOOKUP(Tabela14[[#This Row],[Coluna7]],'tx média'!A:B,2,TRUE)%</f>
        <v>1.78E-2</v>
      </c>
      <c r="R34" s="93" t="str">
        <f>IF(Tabela14[[#This Row],[Coluna8]]/Tabela14[[#This Row],[Coluna14]]&gt;1.2,"Abusivo","Normal")</f>
        <v>Abusivo</v>
      </c>
      <c r="S34" s="18">
        <f>Tabela1[[#This Row],[Coluna4]]</f>
        <v>89.39</v>
      </c>
      <c r="T34" s="20">
        <f t="shared" si="1"/>
        <v>32.091517876723316</v>
      </c>
      <c r="U34" s="18">
        <f>Tabela1[[#This Row],[Coluna3]]</f>
        <v>0</v>
      </c>
      <c r="V34" s="108">
        <f>Tabela14[[#This Row],[Coluna16]]-Tabela14[[#This Row],[Coluna17]]+Tabela14[[#This Row],[Coluna18]]</f>
        <v>57.298482123276685</v>
      </c>
      <c r="W34" s="18">
        <f>W33+Tabela14[[#This Row],[Coluna19]]</f>
        <v>1215.5580586435262</v>
      </c>
    </row>
    <row r="35" spans="1:23" x14ac:dyDescent="0.25">
      <c r="A35" s="1">
        <v>22</v>
      </c>
      <c r="B35" s="27">
        <f t="shared" si="0"/>
        <v>43718</v>
      </c>
      <c r="C35" s="8">
        <f t="shared" si="2"/>
        <v>1652.8119413564716</v>
      </c>
      <c r="D35" s="8">
        <f>Tabela1[[#This Row],[Coluna2]]</f>
        <v>0</v>
      </c>
      <c r="E35" s="19">
        <v>0</v>
      </c>
      <c r="F35" s="8">
        <f>Tabela1[[#This Row],[Coluna32]]</f>
        <v>7.66</v>
      </c>
      <c r="G35" s="91">
        <f t="shared" si="3"/>
        <v>30.400720974683367</v>
      </c>
      <c r="H35" s="8">
        <f>SUM(Tabela14[[#This Row],[Coluna1]:[Coluna4]])</f>
        <v>1690.872662331155</v>
      </c>
      <c r="I35" s="8">
        <f>Tabela1[[#This Row],[Coluna6]]</f>
        <v>112.32</v>
      </c>
      <c r="J35" s="9">
        <f>Tabela1[[#This Row],[Coluna7]]</f>
        <v>43718</v>
      </c>
      <c r="K35" s="92">
        <f>Tabela1[[#This Row],[Coluna8]]</f>
        <v>0.03</v>
      </c>
      <c r="L35" s="8">
        <f>Tabela1[[#This Row],[Coluna9]]</f>
        <v>112.32</v>
      </c>
      <c r="M35" s="28">
        <f>Tabela1[[#This Row],[Coluna10]]</f>
        <v>43718</v>
      </c>
      <c r="N35" s="1">
        <f>IF(Tabela14[[#This Row],[Coluna12]]&gt;0,M36-Tabela14[[#This Row],[Coluna10]],Tabela14[[#This Row],[Coluna10]]-Tabela14[[#This Row],[Coluna7]])</f>
        <v>30</v>
      </c>
      <c r="O35" s="18">
        <f>Tabela14[[#This Row],[Coluna5]]-Tabela14[[#This Row],[Coluna9]]</f>
        <v>1578.552662331155</v>
      </c>
      <c r="P35" s="20">
        <f>Tabela14[[#This Row],[Coluna12]]*Tabela14[[#This Row],[Coluna14]]/30*Tabela14[[#This Row],[Coluna11]]</f>
        <v>27.78252685702833</v>
      </c>
      <c r="Q35" s="13">
        <f>VLOOKUP(Tabela14[[#This Row],[Coluna7]],'tx média'!A:B,2,TRUE)%</f>
        <v>1.7600000000000001E-2</v>
      </c>
      <c r="R35" s="93" t="str">
        <f>IF(Tabela14[[#This Row],[Coluna8]]/Tabela14[[#This Row],[Coluna14]]&gt;1.2,"Abusivo","Normal")</f>
        <v>Abusivo</v>
      </c>
      <c r="S35" s="18">
        <f>Tabela1[[#This Row],[Coluna4]]</f>
        <v>88.92</v>
      </c>
      <c r="T35" s="20">
        <f t="shared" si="1"/>
        <v>30.400720974683367</v>
      </c>
      <c r="U35" s="18">
        <f>Tabela1[[#This Row],[Coluna3]]</f>
        <v>0</v>
      </c>
      <c r="V35" s="108">
        <f>Tabela14[[#This Row],[Coluna16]]-Tabela14[[#This Row],[Coluna17]]+Tabela14[[#This Row],[Coluna18]]</f>
        <v>58.519279025316635</v>
      </c>
      <c r="W35" s="18">
        <f>W34+Tabela14[[#This Row],[Coluna19]]</f>
        <v>1274.0773376688428</v>
      </c>
    </row>
    <row r="36" spans="1:23" x14ac:dyDescent="0.25">
      <c r="A36" s="1">
        <v>23</v>
      </c>
      <c r="B36" s="27">
        <f t="shared" si="0"/>
        <v>43748</v>
      </c>
      <c r="C36" s="8">
        <f t="shared" si="2"/>
        <v>1578.552662331155</v>
      </c>
      <c r="D36" s="8">
        <f>Tabela1[[#This Row],[Coluna2]]</f>
        <v>0</v>
      </c>
      <c r="E36" s="19">
        <v>0</v>
      </c>
      <c r="F36" s="8">
        <f>Tabela1[[#This Row],[Coluna32]]</f>
        <v>7.39</v>
      </c>
      <c r="G36" s="91">
        <f t="shared" si="3"/>
        <v>27.78252685702833</v>
      </c>
      <c r="H36" s="8">
        <f>SUM(Tabela14[[#This Row],[Coluna1]:[Coluna4]])</f>
        <v>1613.7251891881835</v>
      </c>
      <c r="I36" s="8">
        <f>Tabela1[[#This Row],[Coluna6]]</f>
        <v>112.32</v>
      </c>
      <c r="J36" s="9">
        <f>Tabela1[[#This Row],[Coluna7]]</f>
        <v>43748</v>
      </c>
      <c r="K36" s="92">
        <f>Tabela1[[#This Row],[Coluna8]]</f>
        <v>0.03</v>
      </c>
      <c r="L36" s="8">
        <f>Tabela1[[#This Row],[Coluna9]]</f>
        <v>112.32</v>
      </c>
      <c r="M36" s="28">
        <f>Tabela1[[#This Row],[Coluna10]]</f>
        <v>43748</v>
      </c>
      <c r="N36" s="1">
        <f>IF(Tabela14[[#This Row],[Coluna12]]&gt;0,M37-Tabela14[[#This Row],[Coluna10]],Tabela14[[#This Row],[Coluna10]]-Tabela14[[#This Row],[Coluna7]])</f>
        <v>31</v>
      </c>
      <c r="O36" s="18">
        <f>Tabela14[[#This Row],[Coluna5]]-Tabela14[[#This Row],[Coluna9]]</f>
        <v>1501.4051891881836</v>
      </c>
      <c r="P36" s="20">
        <f>Tabela14[[#This Row],[Coluna12]]*Tabela14[[#This Row],[Coluna14]]/30*Tabela14[[#This Row],[Coluna11]]</f>
        <v>26.84012009872076</v>
      </c>
      <c r="Q36" s="13">
        <f>VLOOKUP(Tabela14[[#This Row],[Coluna7]],'tx média'!A:B,2,TRUE)%</f>
        <v>1.7299999999999999E-2</v>
      </c>
      <c r="R36" s="93" t="str">
        <f>IF(Tabela14[[#This Row],[Coluna8]]/Tabela14[[#This Row],[Coluna14]]&gt;1.2,"Abusivo","Normal")</f>
        <v>Abusivo</v>
      </c>
      <c r="S36" s="18">
        <f>Tabela1[[#This Row],[Coluna4]]</f>
        <v>85.58</v>
      </c>
      <c r="T36" s="20">
        <f t="shared" si="1"/>
        <v>27.78252685702833</v>
      </c>
      <c r="U36" s="18">
        <f>Tabela1[[#This Row],[Coluna3]]</f>
        <v>0</v>
      </c>
      <c r="V36" s="108">
        <f>Tabela14[[#This Row],[Coluna16]]-Tabela14[[#This Row],[Coluna17]]+Tabela14[[#This Row],[Coluna18]]</f>
        <v>57.797473142971668</v>
      </c>
      <c r="W36" s="18">
        <f>W35+Tabela14[[#This Row],[Coluna19]]</f>
        <v>1331.8748108118145</v>
      </c>
    </row>
    <row r="37" spans="1:23" x14ac:dyDescent="0.25">
      <c r="A37" s="1">
        <v>24</v>
      </c>
      <c r="B37" s="27">
        <f t="shared" si="0"/>
        <v>43779</v>
      </c>
      <c r="C37" s="8">
        <f t="shared" si="2"/>
        <v>1501.4051891881836</v>
      </c>
      <c r="D37" s="8">
        <f>Tabela1[[#This Row],[Coluna2]]</f>
        <v>0</v>
      </c>
      <c r="E37" s="19">
        <v>0</v>
      </c>
      <c r="F37" s="8">
        <f>Tabela1[[#This Row],[Coluna32]]</f>
        <v>7.55</v>
      </c>
      <c r="G37" s="91">
        <f t="shared" si="3"/>
        <v>26.84012009872076</v>
      </c>
      <c r="H37" s="8">
        <f>SUM(Tabela14[[#This Row],[Coluna1]:[Coluna4]])</f>
        <v>1535.7953092869043</v>
      </c>
      <c r="I37" s="8">
        <f>Tabela1[[#This Row],[Coluna6]]</f>
        <v>112.32</v>
      </c>
      <c r="J37" s="9">
        <f>Tabela1[[#This Row],[Coluna7]]</f>
        <v>43779</v>
      </c>
      <c r="K37" s="92">
        <f>Tabela1[[#This Row],[Coluna8]]</f>
        <v>0.03</v>
      </c>
      <c r="L37" s="8">
        <f>Tabela1[[#This Row],[Coluna9]]</f>
        <v>112.32</v>
      </c>
      <c r="M37" s="28">
        <f>Tabela1[[#This Row],[Coluna10]]</f>
        <v>43779</v>
      </c>
      <c r="N37" s="1">
        <f>IF(Tabela14[[#This Row],[Coluna12]]&gt;0,M38-Tabela14[[#This Row],[Coluna10]],Tabela14[[#This Row],[Coluna10]]-Tabela14[[#This Row],[Coluna7]])</f>
        <v>30</v>
      </c>
      <c r="O37" s="18">
        <f>Tabela14[[#This Row],[Coluna5]]-Tabela14[[#This Row],[Coluna9]]</f>
        <v>1423.4753092869043</v>
      </c>
      <c r="P37" s="20">
        <f>Tabela14[[#This Row],[Coluna12]]*Tabela14[[#This Row],[Coluna14]]/30*Tabela14[[#This Row],[Coluna11]]</f>
        <v>24.483775319734754</v>
      </c>
      <c r="Q37" s="13">
        <f>VLOOKUP(Tabela14[[#This Row],[Coluna7]],'tx média'!A:B,2,TRUE)%</f>
        <v>1.72E-2</v>
      </c>
      <c r="R37" s="93" t="str">
        <f>IF(Tabela14[[#This Row],[Coluna8]]/Tabela14[[#This Row],[Coluna14]]&gt;1.2,"Abusivo","Normal")</f>
        <v>Abusivo</v>
      </c>
      <c r="S37" s="18">
        <f>Tabela1[[#This Row],[Coluna4]]</f>
        <v>87.83</v>
      </c>
      <c r="T37" s="20">
        <f t="shared" si="1"/>
        <v>26.84012009872076</v>
      </c>
      <c r="U37" s="18">
        <f>Tabela1[[#This Row],[Coluna3]]</f>
        <v>0</v>
      </c>
      <c r="V37" s="108">
        <f>Tabela14[[#This Row],[Coluna16]]-Tabela14[[#This Row],[Coluna17]]+Tabela14[[#This Row],[Coluna18]]</f>
        <v>60.989879901279238</v>
      </c>
      <c r="W37" s="18">
        <f>W36+Tabela14[[#This Row],[Coluna19]]</f>
        <v>1392.8646907130938</v>
      </c>
    </row>
    <row r="38" spans="1:23" x14ac:dyDescent="0.25">
      <c r="A38" s="1">
        <v>25</v>
      </c>
      <c r="B38" s="27">
        <f t="shared" si="0"/>
        <v>43809</v>
      </c>
      <c r="C38" s="8">
        <f t="shared" si="2"/>
        <v>1423.4753092869043</v>
      </c>
      <c r="D38" s="8">
        <f>Tabela1[[#This Row],[Coluna2]]</f>
        <v>0</v>
      </c>
      <c r="E38" s="19">
        <v>0</v>
      </c>
      <c r="F38" s="8">
        <f>Tabela1[[#This Row],[Coluna32]]</f>
        <v>7.29</v>
      </c>
      <c r="G38" s="91">
        <f t="shared" si="3"/>
        <v>24.483775319734754</v>
      </c>
      <c r="H38" s="8">
        <f>SUM(Tabela14[[#This Row],[Coluna1]:[Coluna4]])</f>
        <v>1455.2490846066391</v>
      </c>
      <c r="I38" s="8">
        <f>Tabela1[[#This Row],[Coluna6]]</f>
        <v>112.32</v>
      </c>
      <c r="J38" s="9">
        <f>Tabela1[[#This Row],[Coluna7]]</f>
        <v>43809</v>
      </c>
      <c r="K38" s="92">
        <f>Tabela1[[#This Row],[Coluna8]]</f>
        <v>0.03</v>
      </c>
      <c r="L38" s="8">
        <f>Tabela1[[#This Row],[Coluna9]]</f>
        <v>112.32</v>
      </c>
      <c r="M38" s="28">
        <f>Tabela1[[#This Row],[Coluna10]]</f>
        <v>43809</v>
      </c>
      <c r="N38" s="1">
        <f>IF(Tabela14[[#This Row],[Coluna12]]&gt;0,M39-Tabela14[[#This Row],[Coluna10]],Tabela14[[#This Row],[Coluna10]]-Tabela14[[#This Row],[Coluna7]])</f>
        <v>31</v>
      </c>
      <c r="O38" s="18">
        <f>Tabela14[[#This Row],[Coluna5]]-Tabela14[[#This Row],[Coluna9]]</f>
        <v>1342.9290846066392</v>
      </c>
      <c r="P38" s="20">
        <f>Tabela14[[#This Row],[Coluna12]]*Tabela14[[#This Row],[Coluna14]]/30*Tabela14[[#This Row],[Coluna11]]</f>
        <v>23.452018247513941</v>
      </c>
      <c r="Q38" s="13">
        <f>VLOOKUP(Tabela14[[#This Row],[Coluna7]],'tx média'!A:B,2,TRUE)%</f>
        <v>1.6899999999999998E-2</v>
      </c>
      <c r="R38" s="93" t="str">
        <f>IF(Tabela14[[#This Row],[Coluna8]]/Tabela14[[#This Row],[Coluna14]]&gt;1.2,"Abusivo","Normal")</f>
        <v>Abusivo</v>
      </c>
      <c r="S38" s="18">
        <f>Tabela1[[#This Row],[Coluna4]]</f>
        <v>84.49</v>
      </c>
      <c r="T38" s="20">
        <f t="shared" si="1"/>
        <v>24.483775319734754</v>
      </c>
      <c r="U38" s="18">
        <f>Tabela1[[#This Row],[Coluna3]]</f>
        <v>160.18</v>
      </c>
      <c r="V38" s="108">
        <f>Tabela14[[#This Row],[Coluna16]]-Tabela14[[#This Row],[Coluna17]]+Tabela14[[#This Row],[Coluna18]]</f>
        <v>220.18622468026524</v>
      </c>
      <c r="W38" s="18">
        <f>W37+Tabela14[[#This Row],[Coluna19]]</f>
        <v>1613.050915393359</v>
      </c>
    </row>
    <row r="39" spans="1:23" x14ac:dyDescent="0.25">
      <c r="A39" s="1">
        <v>26</v>
      </c>
      <c r="B39" s="27">
        <f t="shared" si="0"/>
        <v>43840</v>
      </c>
      <c r="C39" s="8">
        <f>H38-L38</f>
        <v>1342.9290846066392</v>
      </c>
      <c r="D39" s="8">
        <f>Tabela1[[#This Row],[Coluna2]]</f>
        <v>0</v>
      </c>
      <c r="E39" s="19">
        <v>0</v>
      </c>
      <c r="F39" s="8">
        <f>Tabela1[[#This Row],[Coluna32]]</f>
        <v>8.48</v>
      </c>
      <c r="G39" s="91">
        <f t="shared" si="3"/>
        <v>23.452018247513941</v>
      </c>
      <c r="H39" s="8">
        <f>SUM(Tabela14[[#This Row],[Coluna1]:[Coluna4]])</f>
        <v>1374.8611028541532</v>
      </c>
      <c r="I39" s="8">
        <f>Tabela1[[#This Row],[Coluna6]]</f>
        <v>112.32</v>
      </c>
      <c r="J39" s="9">
        <f>Tabela1[[#This Row],[Coluna7]]</f>
        <v>43840</v>
      </c>
      <c r="K39" s="92">
        <f>Tabela1[[#This Row],[Coluna8]]</f>
        <v>0.03</v>
      </c>
      <c r="L39" s="8">
        <f>Tabela1[[#This Row],[Coluna9]]</f>
        <v>112.32</v>
      </c>
      <c r="M39" s="28">
        <f>Tabela1[[#This Row],[Coluna10]]</f>
        <v>43840</v>
      </c>
      <c r="N39" s="1">
        <f>IF(Tabela14[[#This Row],[Coluna12]]&gt;0,M40-Tabela14[[#This Row],[Coluna10]],Tabela14[[#This Row],[Coluna10]]-Tabela14[[#This Row],[Coluna7]])</f>
        <v>31</v>
      </c>
      <c r="O39" s="18">
        <f>Tabela14[[#This Row],[Coluna5]]-Tabela14[[#This Row],[Coluna9]]</f>
        <v>1262.5411028541532</v>
      </c>
      <c r="P39" s="20">
        <f>Tabela14[[#This Row],[Coluna12]]*Tabela14[[#This Row],[Coluna14]]/30*Tabela14[[#This Row],[Coluna11]]</f>
        <v>22.9614141905742</v>
      </c>
      <c r="Q39" s="13">
        <f>VLOOKUP(Tabela14[[#This Row],[Coluna7]],'tx média'!A:B,2,TRUE)%</f>
        <v>1.7600000000000001E-2</v>
      </c>
      <c r="R39" s="93" t="str">
        <f>IF(Tabela14[[#This Row],[Coluna8]]/Tabela14[[#This Row],[Coluna14]]&gt;1.2,"Abusivo","Normal")</f>
        <v>Abusivo</v>
      </c>
      <c r="S39" s="18">
        <f>Tabela1[[#This Row],[Coluna4]]</f>
        <v>91.64</v>
      </c>
      <c r="T39" s="20">
        <f t="shared" si="1"/>
        <v>23.452018247513941</v>
      </c>
      <c r="U39" s="18">
        <f>Tabela1[[#This Row],[Coluna3]]</f>
        <v>0</v>
      </c>
      <c r="V39" s="108">
        <f>Tabela14[[#This Row],[Coluna16]]-Tabela14[[#This Row],[Coluna17]]+Tabela14[[#This Row],[Coluna18]]</f>
        <v>68.187981752486053</v>
      </c>
      <c r="W39" s="18">
        <f>W38+Tabela14[[#This Row],[Coluna19]]</f>
        <v>1681.2388971458449</v>
      </c>
    </row>
    <row r="40" spans="1:23" x14ac:dyDescent="0.25">
      <c r="A40" s="1">
        <v>27</v>
      </c>
      <c r="B40" s="27">
        <f t="shared" si="0"/>
        <v>43871</v>
      </c>
      <c r="C40" s="8">
        <f t="shared" si="2"/>
        <v>1262.5411028541532</v>
      </c>
      <c r="D40" s="8">
        <f>Tabela1[[#This Row],[Coluna2]]</f>
        <v>0</v>
      </c>
      <c r="E40" s="19">
        <v>0</v>
      </c>
      <c r="F40" s="8">
        <f>Tabela1[[#This Row],[Coluna32]]</f>
        <v>7.87</v>
      </c>
      <c r="G40" s="91">
        <f t="shared" si="3"/>
        <v>22.9614141905742</v>
      </c>
      <c r="H40" s="8">
        <f>SUM(Tabela14[[#This Row],[Coluna1]:[Coluna4]])</f>
        <v>1293.3725170447274</v>
      </c>
      <c r="I40" s="8">
        <f>Tabela1[[#This Row],[Coluna6]]</f>
        <v>112.32</v>
      </c>
      <c r="J40" s="9">
        <f>Tabela1[[#This Row],[Coluna7]]</f>
        <v>43871</v>
      </c>
      <c r="K40" s="92">
        <f>Tabela1[[#This Row],[Coluna8]]</f>
        <v>0.03</v>
      </c>
      <c r="L40" s="8">
        <f>Tabela1[[#This Row],[Coluna9]]</f>
        <v>112.32</v>
      </c>
      <c r="M40" s="28">
        <f>Tabela1[[#This Row],[Coluna10]]</f>
        <v>43871</v>
      </c>
      <c r="N40" s="1">
        <f>IF(Tabela14[[#This Row],[Coluna12]]&gt;0,M41-Tabela14[[#This Row],[Coluna10]],Tabela14[[#This Row],[Coluna10]]-Tabela14[[#This Row],[Coluna7]])</f>
        <v>29</v>
      </c>
      <c r="O40" s="18">
        <f>Tabela14[[#This Row],[Coluna5]]-Tabela14[[#This Row],[Coluna9]]</f>
        <v>1181.0525170447274</v>
      </c>
      <c r="P40" s="20">
        <f>Tabela14[[#This Row],[Coluna12]]*Tabela14[[#This Row],[Coluna14]]/30*Tabela14[[#This Row],[Coluna11]]</f>
        <v>20.321976976616277</v>
      </c>
      <c r="Q40" s="13">
        <f>VLOOKUP(Tabela14[[#This Row],[Coluna7]],'tx média'!A:B,2,TRUE)%</f>
        <v>1.78E-2</v>
      </c>
      <c r="R40" s="93" t="str">
        <f>IF(Tabela14[[#This Row],[Coluna8]]/Tabela14[[#This Row],[Coluna14]]&gt;1.2,"Abusivo","Normal")</f>
        <v>Abusivo</v>
      </c>
      <c r="S40" s="18">
        <f>Tabela1[[#This Row],[Coluna4]]</f>
        <v>91.26</v>
      </c>
      <c r="T40" s="20">
        <f t="shared" si="1"/>
        <v>22.9614141905742</v>
      </c>
      <c r="U40" s="18">
        <f>Tabela1[[#This Row],[Coluna3]]</f>
        <v>0</v>
      </c>
      <c r="V40" s="108">
        <f>Tabela14[[#This Row],[Coluna16]]-Tabela14[[#This Row],[Coluna17]]+Tabela14[[#This Row],[Coluna18]]</f>
        <v>68.298585809425802</v>
      </c>
      <c r="W40" s="18">
        <f>W39+Tabela14[[#This Row],[Coluna19]]</f>
        <v>1749.5374829552707</v>
      </c>
    </row>
    <row r="41" spans="1:23" x14ac:dyDescent="0.25">
      <c r="A41" s="1">
        <v>28</v>
      </c>
      <c r="B41" s="27">
        <f t="shared" si="0"/>
        <v>43900</v>
      </c>
      <c r="C41" s="8">
        <f t="shared" si="2"/>
        <v>1181.0525170447274</v>
      </c>
      <c r="D41" s="8">
        <f>Tabela1[[#This Row],[Coluna2]]</f>
        <v>0</v>
      </c>
      <c r="E41" s="19">
        <v>0</v>
      </c>
      <c r="F41" s="8">
        <f>Tabela1[[#This Row],[Coluna32]]</f>
        <v>7.35</v>
      </c>
      <c r="G41" s="91">
        <f t="shared" si="3"/>
        <v>20.321976976616277</v>
      </c>
      <c r="H41" s="8">
        <f>SUM(Tabela14[[#This Row],[Coluna1]:[Coluna4]])</f>
        <v>1208.7244940213436</v>
      </c>
      <c r="I41" s="8">
        <f>Tabela1[[#This Row],[Coluna6]]</f>
        <v>112.32</v>
      </c>
      <c r="J41" s="9">
        <f>Tabela1[[#This Row],[Coluna7]]</f>
        <v>43900</v>
      </c>
      <c r="K41" s="92">
        <f>Tabela1[[#This Row],[Coluna8]]</f>
        <v>0.03</v>
      </c>
      <c r="L41" s="8">
        <f>Tabela1[[#This Row],[Coluna9]]</f>
        <v>112.32</v>
      </c>
      <c r="M41" s="28">
        <f>Tabela1[[#This Row],[Coluna10]]</f>
        <v>43900</v>
      </c>
      <c r="N41" s="1">
        <f>IF(Tabela14[[#This Row],[Coluna12]]&gt;0,M42-Tabela14[[#This Row],[Coluna10]],Tabela14[[#This Row],[Coluna10]]-Tabela14[[#This Row],[Coluna7]])</f>
        <v>31</v>
      </c>
      <c r="O41" s="18">
        <f>Tabela14[[#This Row],[Coluna5]]-Tabela14[[#This Row],[Coluna9]]</f>
        <v>1096.4044940213437</v>
      </c>
      <c r="P41" s="20">
        <f>Tabela14[[#This Row],[Coluna12]]*Tabela14[[#This Row],[Coluna14]]/30*Tabela14[[#This Row],[Coluna11]]</f>
        <v>19.486762540406012</v>
      </c>
      <c r="Q41" s="13">
        <f>VLOOKUP(Tabela14[[#This Row],[Coluna7]],'tx média'!A:B,2,TRUE)%</f>
        <v>1.72E-2</v>
      </c>
      <c r="R41" s="93" t="str">
        <f>IF(Tabela14[[#This Row],[Coluna8]]/Tabela14[[#This Row],[Coluna14]]&gt;1.2,"Abusivo","Normal")</f>
        <v>Abusivo</v>
      </c>
      <c r="S41" s="18">
        <f>Tabela1[[#This Row],[Coluna4]]</f>
        <v>84.98</v>
      </c>
      <c r="T41" s="20">
        <f t="shared" si="1"/>
        <v>20.321976976616277</v>
      </c>
      <c r="U41" s="18">
        <f>Tabela1[[#This Row],[Coluna3]]</f>
        <v>0</v>
      </c>
      <c r="V41" s="108">
        <f>Tabela14[[#This Row],[Coluna16]]-Tabela14[[#This Row],[Coluna17]]+Tabela14[[#This Row],[Coluna18]]</f>
        <v>64.65802302338372</v>
      </c>
      <c r="W41" s="18">
        <f>W40+Tabela14[[#This Row],[Coluna19]]</f>
        <v>1814.1955059786544</v>
      </c>
    </row>
    <row r="42" spans="1:23" x14ac:dyDescent="0.25">
      <c r="A42" s="1">
        <v>29</v>
      </c>
      <c r="B42" s="27">
        <f t="shared" si="0"/>
        <v>43931</v>
      </c>
      <c r="C42" s="8">
        <f t="shared" si="2"/>
        <v>1096.4044940213437</v>
      </c>
      <c r="D42" s="8">
        <f>Tabela1[[#This Row],[Coluna2]]</f>
        <v>0</v>
      </c>
      <c r="E42" s="19">
        <v>0</v>
      </c>
      <c r="F42" s="8">
        <f>Tabela1[[#This Row],[Coluna32]]</f>
        <v>7.76</v>
      </c>
      <c r="G42" s="91">
        <f t="shared" si="3"/>
        <v>19.486762540406012</v>
      </c>
      <c r="H42" s="8">
        <f>SUM(Tabela14[[#This Row],[Coluna1]:[Coluna4]])</f>
        <v>1123.6512565617497</v>
      </c>
      <c r="I42" s="8">
        <f>Tabela1[[#This Row],[Coluna6]]</f>
        <v>112.32</v>
      </c>
      <c r="J42" s="9">
        <f>Tabela1[[#This Row],[Coluna7]]</f>
        <v>43931</v>
      </c>
      <c r="K42" s="92">
        <f>Tabela1[[#This Row],[Coluna8]]</f>
        <v>2.7E-2</v>
      </c>
      <c r="L42" s="8">
        <f>Tabela1[[#This Row],[Coluna9]]</f>
        <v>112.32</v>
      </c>
      <c r="M42" s="28">
        <f>Tabela1[[#This Row],[Coluna10]]</f>
        <v>43931</v>
      </c>
      <c r="N42" s="1">
        <f>IF(Tabela14[[#This Row],[Coluna12]]&gt;0,M43-Tabela14[[#This Row],[Coluna10]],Tabela14[[#This Row],[Coluna10]]-Tabela14[[#This Row],[Coluna7]])</f>
        <v>30</v>
      </c>
      <c r="O42" s="18">
        <f>Tabela14[[#This Row],[Coluna5]]-Tabela14[[#This Row],[Coluna9]]</f>
        <v>1011.3312565617498</v>
      </c>
      <c r="P42" s="20">
        <f>Tabela14[[#This Row],[Coluna12]]*Tabela14[[#This Row],[Coluna14]]/30*Tabela14[[#This Row],[Coluna11]]</f>
        <v>16.585832607612694</v>
      </c>
      <c r="Q42" s="13">
        <f>VLOOKUP(Tabela14[[#This Row],[Coluna7]],'tx média'!A:B,2,TRUE)%</f>
        <v>1.6399999999999998E-2</v>
      </c>
      <c r="R42" s="93" t="str">
        <f>IF(Tabela14[[#This Row],[Coluna8]]/Tabela14[[#This Row],[Coluna14]]&gt;1.2,"Abusivo","Normal")</f>
        <v>Abusivo</v>
      </c>
      <c r="S42" s="18">
        <f>Tabela1[[#This Row],[Coluna4]]</f>
        <v>90.23</v>
      </c>
      <c r="T42" s="20">
        <f t="shared" si="1"/>
        <v>19.486762540406012</v>
      </c>
      <c r="U42" s="18">
        <f>Tabela1[[#This Row],[Coluna3]]</f>
        <v>0</v>
      </c>
      <c r="V42" s="108">
        <f>Tabela14[[#This Row],[Coluna16]]-Tabela14[[#This Row],[Coluna17]]+Tabela14[[#This Row],[Coluna18]]</f>
        <v>70.743237459593985</v>
      </c>
      <c r="W42" s="18">
        <f>W41+Tabela14[[#This Row],[Coluna19]]</f>
        <v>1884.9387434382484</v>
      </c>
    </row>
    <row r="43" spans="1:23" x14ac:dyDescent="0.25">
      <c r="A43" s="1">
        <v>30</v>
      </c>
      <c r="B43" s="27">
        <f t="shared" si="0"/>
        <v>43961</v>
      </c>
      <c r="C43" s="8">
        <f t="shared" si="2"/>
        <v>1011.3312565617498</v>
      </c>
      <c r="D43" s="8">
        <f>Tabela1[[#This Row],[Coluna2]]</f>
        <v>0</v>
      </c>
      <c r="E43" s="19">
        <v>0</v>
      </c>
      <c r="F43" s="8">
        <f>Tabela1[[#This Row],[Coluna32]]</f>
        <v>-1.91</v>
      </c>
      <c r="G43" s="91">
        <f t="shared" si="3"/>
        <v>16.585832607612694</v>
      </c>
      <c r="H43" s="8">
        <f>SUM(Tabela14[[#This Row],[Coluna1]:[Coluna4]])</f>
        <v>1026.0070891693624</v>
      </c>
      <c r="I43" s="8">
        <f>Tabela1[[#This Row],[Coluna6]]</f>
        <v>112.32</v>
      </c>
      <c r="J43" s="9">
        <f>Tabela1[[#This Row],[Coluna7]]</f>
        <v>43961</v>
      </c>
      <c r="K43" s="92">
        <f>Tabela1[[#This Row],[Coluna8]]</f>
        <v>2.7E-2</v>
      </c>
      <c r="L43" s="8">
        <f>Tabela1[[#This Row],[Coluna9]]</f>
        <v>112.32</v>
      </c>
      <c r="M43" s="28">
        <f>Tabela1[[#This Row],[Coluna10]]</f>
        <v>43961</v>
      </c>
      <c r="N43" s="1">
        <f>IF(Tabela14[[#This Row],[Coluna12]]&gt;0,M44-Tabela14[[#This Row],[Coluna10]],Tabela14[[#This Row],[Coluna10]]-Tabela14[[#This Row],[Coluna7]])</f>
        <v>31</v>
      </c>
      <c r="O43" s="18">
        <f>Tabela14[[#This Row],[Coluna5]]-Tabela14[[#This Row],[Coluna9]]</f>
        <v>913.68708916936248</v>
      </c>
      <c r="P43" s="20">
        <f>Tabela14[[#This Row],[Coluna12]]*Tabela14[[#This Row],[Coluna14]]/30*Tabela14[[#This Row],[Coluna11]]</f>
        <v>15.389536205242628</v>
      </c>
      <c r="Q43" s="13">
        <f>VLOOKUP(Tabela14[[#This Row],[Coluna7]],'tx média'!A:B,2,TRUE)%</f>
        <v>1.6299999999999999E-2</v>
      </c>
      <c r="R43" s="93" t="str">
        <f>IF(Tabela14[[#This Row],[Coluna8]]/Tabela14[[#This Row],[Coluna14]]&gt;1.2,"Abusivo","Normal")</f>
        <v>Abusivo</v>
      </c>
      <c r="S43" s="18">
        <f>Tabela1[[#This Row],[Coluna4]]</f>
        <v>78.150000000000006</v>
      </c>
      <c r="T43" s="20">
        <f t="shared" si="1"/>
        <v>16.585832607612694</v>
      </c>
      <c r="U43" s="18">
        <f>Tabela1[[#This Row],[Coluna3]]</f>
        <v>0</v>
      </c>
      <c r="V43" s="108">
        <f>Tabela14[[#This Row],[Coluna16]]-Tabela14[[#This Row],[Coluna17]]+Tabela14[[#This Row],[Coluna18]]</f>
        <v>61.564167392387311</v>
      </c>
      <c r="W43" s="18">
        <f>W42+Tabela14[[#This Row],[Coluna19]]</f>
        <v>1946.5029108306358</v>
      </c>
    </row>
    <row r="44" spans="1:23" x14ac:dyDescent="0.25">
      <c r="A44" s="1">
        <v>31</v>
      </c>
      <c r="B44" s="27">
        <f t="shared" si="0"/>
        <v>43992</v>
      </c>
      <c r="C44" s="8">
        <f t="shared" si="2"/>
        <v>913.68708916936248</v>
      </c>
      <c r="D44" s="8">
        <f>Tabela1[[#This Row],[Coluna2]]</f>
        <v>0</v>
      </c>
      <c r="E44" s="19">
        <v>0</v>
      </c>
      <c r="F44" s="8">
        <f>Tabela1[[#This Row],[Coluna32]]</f>
        <v>0</v>
      </c>
      <c r="G44" s="91">
        <f t="shared" si="3"/>
        <v>15.389536205242628</v>
      </c>
      <c r="H44" s="8">
        <f>SUM(Tabela14[[#This Row],[Coluna1]:[Coluna4]])</f>
        <v>929.0766253746051</v>
      </c>
      <c r="I44" s="8">
        <f>Tabela1[[#This Row],[Coluna6]]</f>
        <v>112.32</v>
      </c>
      <c r="J44" s="9">
        <f>Tabela1[[#This Row],[Coluna7]]</f>
        <v>43992</v>
      </c>
      <c r="K44" s="92">
        <f>Tabela1[[#This Row],[Coluna8]]</f>
        <v>2.7E-2</v>
      </c>
      <c r="L44" s="8">
        <f>Tabela1[[#This Row],[Coluna9]]</f>
        <v>112.32</v>
      </c>
      <c r="M44" s="28">
        <f>Tabela1[[#This Row],[Coluna10]]</f>
        <v>43992</v>
      </c>
      <c r="N44" s="1">
        <f>IF(Tabela14[[#This Row],[Coluna12]]&gt;0,M45-Tabela14[[#This Row],[Coluna10]],Tabela14[[#This Row],[Coluna10]]-Tabela14[[#This Row],[Coluna7]])</f>
        <v>30</v>
      </c>
      <c r="O44" s="18">
        <f>Tabela14[[#This Row],[Coluna5]]-Tabela14[[#This Row],[Coluna9]]</f>
        <v>816.75662537460516</v>
      </c>
      <c r="P44" s="20">
        <f>Tabela14[[#This Row],[Coluna12]]*Tabela14[[#This Row],[Coluna14]]/30*Tabela14[[#This Row],[Coluna11]]</f>
        <v>13.231457331068606</v>
      </c>
      <c r="Q44" s="13">
        <f>VLOOKUP(Tabela14[[#This Row],[Coluna7]],'tx média'!A:B,2,TRUE)%</f>
        <v>1.6200000000000003E-2</v>
      </c>
      <c r="R44" s="93" t="str">
        <f>IF(Tabela14[[#This Row],[Coluna8]]/Tabela14[[#This Row],[Coluna14]]&gt;1.2,"Abusivo","Normal")</f>
        <v>Abusivo</v>
      </c>
      <c r="S44" s="18">
        <f>Tabela1[[#This Row],[Coluna4]]</f>
        <v>79.8</v>
      </c>
      <c r="T44" s="20">
        <f t="shared" si="1"/>
        <v>15.389536205242628</v>
      </c>
      <c r="U44" s="18">
        <f>Tabela1[[#This Row],[Coluna3]]</f>
        <v>0</v>
      </c>
      <c r="V44" s="108">
        <f>Tabela14[[#This Row],[Coluna16]]-Tabela14[[#This Row],[Coluna17]]+Tabela14[[#This Row],[Coluna18]]</f>
        <v>64.410463794757362</v>
      </c>
      <c r="W44" s="18">
        <f>W43+Tabela14[[#This Row],[Coluna19]]</f>
        <v>2010.9133746253931</v>
      </c>
    </row>
    <row r="45" spans="1:23" x14ac:dyDescent="0.25">
      <c r="A45" s="1">
        <v>32</v>
      </c>
      <c r="B45" s="27">
        <f t="shared" si="0"/>
        <v>44022</v>
      </c>
      <c r="C45" s="8">
        <f t="shared" si="2"/>
        <v>816.75662537460516</v>
      </c>
      <c r="D45" s="8">
        <f>Tabela1[[#This Row],[Coluna2]]</f>
        <v>0</v>
      </c>
      <c r="E45" s="19">
        <v>0</v>
      </c>
      <c r="F45" s="8">
        <f>Tabela1[[#This Row],[Coluna32]]</f>
        <v>0</v>
      </c>
      <c r="G45" s="91">
        <f t="shared" si="3"/>
        <v>13.231457331068606</v>
      </c>
      <c r="H45" s="8">
        <f>SUM(Tabela14[[#This Row],[Coluna1]:[Coluna4]])</f>
        <v>829.98808270567372</v>
      </c>
      <c r="I45" s="8">
        <f>Tabela1[[#This Row],[Coluna6]]</f>
        <v>112.32</v>
      </c>
      <c r="J45" s="9">
        <f>Tabela1[[#This Row],[Coluna7]]</f>
        <v>44022</v>
      </c>
      <c r="K45" s="92">
        <f>Tabela1[[#This Row],[Coluna8]]</f>
        <v>2.7E-2</v>
      </c>
      <c r="L45" s="8">
        <f>Tabela1[[#This Row],[Coluna9]]</f>
        <v>112.32</v>
      </c>
      <c r="M45" s="28">
        <f>Tabela1[[#This Row],[Coluna10]]</f>
        <v>44022</v>
      </c>
      <c r="N45" s="1">
        <f>IF(Tabela14[[#This Row],[Coluna12]]&gt;0,M46-Tabela14[[#This Row],[Coluna10]],Tabela14[[#This Row],[Coluna10]]-Tabela14[[#This Row],[Coluna7]])</f>
        <v>31</v>
      </c>
      <c r="O45" s="18">
        <f>Tabela14[[#This Row],[Coluna5]]-Tabela14[[#This Row],[Coluna9]]</f>
        <v>717.66808270567367</v>
      </c>
      <c r="P45" s="20">
        <f>Tabela14[[#This Row],[Coluna12]]*Tabela14[[#This Row],[Coluna14]]/30*Tabela14[[#This Row],[Coluna11]]</f>
        <v>11.568809493215459</v>
      </c>
      <c r="Q45" s="13">
        <f>VLOOKUP(Tabela14[[#This Row],[Coluna7]],'tx média'!A:B,2,TRUE)%</f>
        <v>1.5600000000000001E-2</v>
      </c>
      <c r="R45" s="93" t="str">
        <f>IF(Tabela14[[#This Row],[Coluna8]]/Tabela14[[#This Row],[Coluna14]]&gt;1.2,"Abusivo","Normal")</f>
        <v>Abusivo</v>
      </c>
      <c r="S45" s="18">
        <f>Tabela1[[#This Row],[Coluna4]]</f>
        <v>76.349999999999994</v>
      </c>
      <c r="T45" s="20">
        <f t="shared" si="1"/>
        <v>13.231457331068606</v>
      </c>
      <c r="U45" s="18">
        <f>Tabela1[[#This Row],[Coluna3]]</f>
        <v>0</v>
      </c>
      <c r="V45" s="108">
        <f>Tabela14[[#This Row],[Coluna16]]-Tabela14[[#This Row],[Coluna17]]+Tabela14[[#This Row],[Coluna18]]</f>
        <v>63.11854266893139</v>
      </c>
      <c r="W45" s="18">
        <f>W44+Tabela14[[#This Row],[Coluna19]]</f>
        <v>2074.0319172943246</v>
      </c>
    </row>
    <row r="46" spans="1:23" x14ac:dyDescent="0.25">
      <c r="A46" s="1">
        <v>33</v>
      </c>
      <c r="B46" s="27">
        <f t="shared" si="0"/>
        <v>44053</v>
      </c>
      <c r="C46" s="8">
        <f t="shared" si="2"/>
        <v>717.66808270567367</v>
      </c>
      <c r="D46" s="8">
        <f>Tabela1[[#This Row],[Coluna2]]</f>
        <v>0</v>
      </c>
      <c r="E46" s="19">
        <v>0</v>
      </c>
      <c r="F46" s="8">
        <f>Tabela1[[#This Row],[Coluna32]]</f>
        <v>0</v>
      </c>
      <c r="G46" s="91">
        <f t="shared" si="3"/>
        <v>11.568809493215459</v>
      </c>
      <c r="H46" s="8">
        <f>SUM(Tabela14[[#This Row],[Coluna1]:[Coluna4]])</f>
        <v>729.23689219888911</v>
      </c>
      <c r="I46" s="8">
        <f>Tabela1[[#This Row],[Coluna6]]</f>
        <v>112.32</v>
      </c>
      <c r="J46" s="9">
        <f>Tabela1[[#This Row],[Coluna7]]</f>
        <v>44053</v>
      </c>
      <c r="K46" s="92">
        <f>Tabela1[[#This Row],[Coluna8]]</f>
        <v>2.7E-2</v>
      </c>
      <c r="L46" s="8">
        <f>Tabela1[[#This Row],[Coluna9]]</f>
        <v>112.32</v>
      </c>
      <c r="M46" s="28">
        <f>Tabela1[[#This Row],[Coluna10]]</f>
        <v>44053</v>
      </c>
      <c r="N46" s="1">
        <f>IF(Tabela14[[#This Row],[Coluna12]]&gt;0,M47-Tabela14[[#This Row],[Coluna10]],Tabela14[[#This Row],[Coluna10]]-Tabela14[[#This Row],[Coluna7]])</f>
        <v>31</v>
      </c>
      <c r="O46" s="18">
        <f>Tabela14[[#This Row],[Coluna5]]-Tabela14[[#This Row],[Coluna9]]</f>
        <v>616.91689219888917</v>
      </c>
      <c r="P46" s="20">
        <f>Tabela14[[#This Row],[Coluna12]]*Tabela14[[#This Row],[Coluna14]]/30*Tabela14[[#This Row],[Coluna11]]</f>
        <v>9.9447003022460958</v>
      </c>
      <c r="Q46" s="13">
        <f>VLOOKUP(Tabela14[[#This Row],[Coluna7]],'tx média'!A:B,2,TRUE)%</f>
        <v>1.5600000000000001E-2</v>
      </c>
      <c r="R46" s="93" t="str">
        <f>IF(Tabela14[[#This Row],[Coluna8]]/Tabela14[[#This Row],[Coluna14]]&gt;1.2,"Abusivo","Normal")</f>
        <v>Abusivo</v>
      </c>
      <c r="S46" s="18">
        <f>Tabela1[[#This Row],[Coluna4]]</f>
        <v>77.89</v>
      </c>
      <c r="T46" s="20">
        <f t="shared" si="1"/>
        <v>11.568809493215459</v>
      </c>
      <c r="U46" s="18">
        <f>Tabela1[[#This Row],[Coluna3]]</f>
        <v>0</v>
      </c>
      <c r="V46" s="108">
        <f>Tabela14[[#This Row],[Coluna16]]-Tabela14[[#This Row],[Coluna17]]+Tabela14[[#This Row],[Coluna18]]</f>
        <v>66.321190506784546</v>
      </c>
      <c r="W46" s="18">
        <f>W45+Tabela14[[#This Row],[Coluna19]]</f>
        <v>2140.3531078011092</v>
      </c>
    </row>
    <row r="47" spans="1:23" x14ac:dyDescent="0.25">
      <c r="A47" s="1">
        <v>34</v>
      </c>
      <c r="B47" s="27">
        <f t="shared" si="0"/>
        <v>44084</v>
      </c>
      <c r="C47" s="8">
        <f t="shared" si="2"/>
        <v>616.91689219888917</v>
      </c>
      <c r="D47" s="8">
        <f>Tabela1[[#This Row],[Coluna2]]</f>
        <v>0</v>
      </c>
      <c r="E47" s="19">
        <v>0</v>
      </c>
      <c r="F47" s="8">
        <f>Tabela1[[#This Row],[Coluna32]]</f>
        <v>0</v>
      </c>
      <c r="G47" s="91">
        <f t="shared" si="3"/>
        <v>9.9447003022460958</v>
      </c>
      <c r="H47" s="8">
        <f>SUM(Tabela14[[#This Row],[Coluna1]:[Coluna4]])</f>
        <v>626.86159250113531</v>
      </c>
      <c r="I47" s="8">
        <f>Tabela1[[#This Row],[Coluna6]]</f>
        <v>112.32</v>
      </c>
      <c r="J47" s="9">
        <f>Tabela1[[#This Row],[Coluna7]]</f>
        <v>44084</v>
      </c>
      <c r="K47" s="92">
        <f>Tabela1[[#This Row],[Coluna8]]</f>
        <v>2.7E-2</v>
      </c>
      <c r="L47" s="8">
        <f>Tabela1[[#This Row],[Coluna9]]</f>
        <v>112.32</v>
      </c>
      <c r="M47" s="28">
        <f>Tabela1[[#This Row],[Coluna10]]</f>
        <v>44084</v>
      </c>
      <c r="N47" s="1">
        <f>IF(Tabela14[[#This Row],[Coluna12]]&gt;0,M48-Tabela14[[#This Row],[Coluna10]],Tabela14[[#This Row],[Coluna10]]-Tabela14[[#This Row],[Coluna7]])</f>
        <v>30</v>
      </c>
      <c r="O47" s="18">
        <f>Tabela14[[#This Row],[Coluna5]]-Tabela14[[#This Row],[Coluna9]]</f>
        <v>514.54159250113526</v>
      </c>
      <c r="P47" s="20">
        <f>Tabela14[[#This Row],[Coluna12]]*Tabela14[[#This Row],[Coluna14]]/30*Tabela14[[#This Row],[Coluna11]]</f>
        <v>7.975394683767596</v>
      </c>
      <c r="Q47" s="13">
        <f>VLOOKUP(Tabela14[[#This Row],[Coluna7]],'tx média'!A:B,2,TRUE)%</f>
        <v>1.55E-2</v>
      </c>
      <c r="R47" s="93" t="str">
        <f>IF(Tabela14[[#This Row],[Coluna8]]/Tabela14[[#This Row],[Coluna14]]&gt;1.2,"Abusivo","Normal")</f>
        <v>Abusivo</v>
      </c>
      <c r="S47" s="18">
        <f>Tabela1[[#This Row],[Coluna4]]</f>
        <v>76.930000000000007</v>
      </c>
      <c r="T47" s="20">
        <f t="shared" si="1"/>
        <v>9.9447003022460958</v>
      </c>
      <c r="U47" s="18">
        <f>Tabela1[[#This Row],[Coluna3]]</f>
        <v>0</v>
      </c>
      <c r="V47" s="108">
        <f>Tabela14[[#This Row],[Coluna16]]-Tabela14[[#This Row],[Coluna17]]+Tabela14[[#This Row],[Coluna18]]</f>
        <v>66.985299697753916</v>
      </c>
      <c r="W47" s="18">
        <f>W46+Tabela14[[#This Row],[Coluna19]]</f>
        <v>2207.338407498863</v>
      </c>
    </row>
    <row r="48" spans="1:23" x14ac:dyDescent="0.25">
      <c r="A48" s="1">
        <v>35</v>
      </c>
      <c r="B48" s="27">
        <f t="shared" si="0"/>
        <v>44114</v>
      </c>
      <c r="C48" s="8">
        <f t="shared" si="2"/>
        <v>514.54159250113526</v>
      </c>
      <c r="D48" s="8">
        <f>Tabela1[[#This Row],[Coluna2]]</f>
        <v>0</v>
      </c>
      <c r="E48" s="19">
        <v>0</v>
      </c>
      <c r="F48" s="8">
        <f>Tabela1[[#This Row],[Coluna32]]</f>
        <v>0</v>
      </c>
      <c r="G48" s="91">
        <f t="shared" si="3"/>
        <v>7.975394683767596</v>
      </c>
      <c r="H48" s="8">
        <f>SUM(Tabela14[[#This Row],[Coluna1]:[Coluna4]])</f>
        <v>522.51698718490286</v>
      </c>
      <c r="I48" s="8">
        <f>Tabela1[[#This Row],[Coluna6]]</f>
        <v>112.32</v>
      </c>
      <c r="J48" s="9">
        <f>Tabela1[[#This Row],[Coluna7]]</f>
        <v>44114</v>
      </c>
      <c r="K48" s="92">
        <f>Tabela1[[#This Row],[Coluna8]]</f>
        <v>2.7E-2</v>
      </c>
      <c r="L48" s="8">
        <f>Tabela1[[#This Row],[Coluna9]]</f>
        <v>112.32</v>
      </c>
      <c r="M48" s="28">
        <f>Tabela1[[#This Row],[Coluna10]]</f>
        <v>44114</v>
      </c>
      <c r="N48" s="1">
        <f>IF(Tabela14[[#This Row],[Coluna12]]&gt;0,M49-Tabela14[[#This Row],[Coluna10]],Tabela14[[#This Row],[Coluna10]]-Tabela14[[#This Row],[Coluna7]])</f>
        <v>31</v>
      </c>
      <c r="O48" s="18">
        <f>Tabela14[[#This Row],[Coluna5]]-Tabela14[[#This Row],[Coluna9]]</f>
        <v>410.19698718490287</v>
      </c>
      <c r="P48" s="20">
        <f>Tabela14[[#This Row],[Coluna12]]*Tabela14[[#This Row],[Coluna14]]/30*Tabela14[[#This Row],[Coluna11]]</f>
        <v>6.9938586315025946</v>
      </c>
      <c r="Q48" s="13">
        <f>VLOOKUP(Tabela14[[#This Row],[Coluna7]],'tx média'!A:B,2,TRUE)%</f>
        <v>1.6500000000000001E-2</v>
      </c>
      <c r="R48" s="93" t="str">
        <f>IF(Tabela14[[#This Row],[Coluna8]]/Tabela14[[#This Row],[Coluna14]]&gt;1.2,"Abusivo","Normal")</f>
        <v>Abusivo</v>
      </c>
      <c r="S48" s="18">
        <f>Tabela1[[#This Row],[Coluna4]]</f>
        <v>73.489999999999995</v>
      </c>
      <c r="T48" s="20">
        <f t="shared" si="1"/>
        <v>7.975394683767596</v>
      </c>
      <c r="U48" s="18">
        <f>Tabela1[[#This Row],[Coluna3]]</f>
        <v>0</v>
      </c>
      <c r="V48" s="108">
        <f>Tabela14[[#This Row],[Coluna16]]-Tabela14[[#This Row],[Coluna17]]+Tabela14[[#This Row],[Coluna18]]</f>
        <v>65.514605316232405</v>
      </c>
      <c r="W48" s="18">
        <f>W47+Tabela14[[#This Row],[Coluna19]]</f>
        <v>2272.8530128150956</v>
      </c>
    </row>
    <row r="49" spans="1:23" x14ac:dyDescent="0.25">
      <c r="A49" s="1">
        <v>36</v>
      </c>
      <c r="B49" s="27">
        <f t="shared" si="0"/>
        <v>44145</v>
      </c>
      <c r="C49" s="8">
        <f t="shared" si="2"/>
        <v>410.19698718490287</v>
      </c>
      <c r="D49" s="8">
        <f>Tabela1[[#This Row],[Coluna2]]</f>
        <v>0</v>
      </c>
      <c r="E49" s="19">
        <v>0</v>
      </c>
      <c r="F49" s="8">
        <f>Tabela1[[#This Row],[Coluna32]]</f>
        <v>0</v>
      </c>
      <c r="G49" s="91">
        <f t="shared" si="3"/>
        <v>6.9938586315025946</v>
      </c>
      <c r="H49" s="8">
        <f>SUM(Tabela14[[#This Row],[Coluna1]:[Coluna4]])</f>
        <v>417.19084581640544</v>
      </c>
      <c r="I49" s="8">
        <f>Tabela1[[#This Row],[Coluna6]]</f>
        <v>112.32</v>
      </c>
      <c r="J49" s="9">
        <f>Tabela1[[#This Row],[Coluna7]]</f>
        <v>44145</v>
      </c>
      <c r="K49" s="92">
        <f>Tabela1[[#This Row],[Coluna8]]</f>
        <v>2.7E-2</v>
      </c>
      <c r="L49" s="8">
        <f>Tabela1[[#This Row],[Coluna9]]</f>
        <v>112.32</v>
      </c>
      <c r="M49" s="28">
        <f>Tabela1[[#This Row],[Coluna10]]</f>
        <v>44145</v>
      </c>
      <c r="N49" s="1">
        <f>IF(Tabela14[[#This Row],[Coluna12]]&gt;0,M50-Tabela14[[#This Row],[Coluna10]],Tabela14[[#This Row],[Coluna10]]-Tabela14[[#This Row],[Coluna7]])</f>
        <v>30</v>
      </c>
      <c r="O49" s="18">
        <f>Tabela14[[#This Row],[Coluna5]]-Tabela14[[#This Row],[Coluna9]]</f>
        <v>304.87084581640545</v>
      </c>
      <c r="P49" s="20">
        <f>Tabela14[[#This Row],[Coluna12]]*Tabela14[[#This Row],[Coluna14]]/30*Tabela14[[#This Row],[Coluna11]]</f>
        <v>4.969394786807408</v>
      </c>
      <c r="Q49" s="13">
        <f>VLOOKUP(Tabela14[[#This Row],[Coluna7]],'tx média'!A:B,2,TRUE)%</f>
        <v>1.6299999999999999E-2</v>
      </c>
      <c r="R49" s="93" t="str">
        <f>IF(Tabela14[[#This Row],[Coluna8]]/Tabela14[[#This Row],[Coluna14]]&gt;1.2,"Abusivo","Normal")</f>
        <v>Abusivo</v>
      </c>
      <c r="S49" s="18">
        <f>Tabela1[[#This Row],[Coluna4]]</f>
        <v>74.87</v>
      </c>
      <c r="T49" s="20">
        <f t="shared" si="1"/>
        <v>6.9938586315025946</v>
      </c>
      <c r="U49" s="18">
        <f>Tabela1[[#This Row],[Coluna3]]</f>
        <v>0</v>
      </c>
      <c r="V49" s="108">
        <f>Tabela14[[#This Row],[Coluna16]]-Tabela14[[#This Row],[Coluna17]]+Tabela14[[#This Row],[Coluna18]]</f>
        <v>67.876141368497414</v>
      </c>
      <c r="W49" s="18">
        <f>W48+Tabela14[[#This Row],[Coluna19]]</f>
        <v>2340.729154183593</v>
      </c>
    </row>
    <row r="50" spans="1:23" x14ac:dyDescent="0.25">
      <c r="A50" s="1">
        <v>37</v>
      </c>
      <c r="B50" s="27">
        <f t="shared" si="0"/>
        <v>44175</v>
      </c>
      <c r="C50" s="8">
        <f t="shared" si="2"/>
        <v>304.87084581640545</v>
      </c>
      <c r="D50" s="8">
        <f>Tabela1[[#This Row],[Coluna2]]</f>
        <v>0</v>
      </c>
      <c r="E50" s="19">
        <v>0</v>
      </c>
      <c r="F50" s="8">
        <f>Tabela1[[#This Row],[Coluna32]]</f>
        <v>0</v>
      </c>
      <c r="G50" s="91">
        <f t="shared" si="3"/>
        <v>4.969394786807408</v>
      </c>
      <c r="H50" s="8">
        <f>SUM(Tabela14[[#This Row],[Coluna1]:[Coluna4]])</f>
        <v>309.84024060321286</v>
      </c>
      <c r="I50" s="8">
        <f>Tabela1[[#This Row],[Coluna6]]</f>
        <v>112.32</v>
      </c>
      <c r="J50" s="9">
        <f>Tabela1[[#This Row],[Coluna7]]</f>
        <v>44175</v>
      </c>
      <c r="K50" s="92">
        <f>Tabela1[[#This Row],[Coluna8]]</f>
        <v>2.7E-2</v>
      </c>
      <c r="L50" s="8">
        <f>Tabela1[[#This Row],[Coluna9]]</f>
        <v>112.32</v>
      </c>
      <c r="M50" s="28">
        <f>Tabela1[[#This Row],[Coluna10]]</f>
        <v>44175</v>
      </c>
      <c r="N50" s="1">
        <f>IF(Tabela14[[#This Row],[Coluna12]]&gt;0,M51-Tabela14[[#This Row],[Coluna10]],Tabela14[[#This Row],[Coluna10]]-Tabela14[[#This Row],[Coluna7]])</f>
        <v>31</v>
      </c>
      <c r="O50" s="18">
        <f>Tabela14[[#This Row],[Coluna5]]-Tabela14[[#This Row],[Coluna9]]</f>
        <v>197.52024060321287</v>
      </c>
      <c r="P50" s="20">
        <f>Tabela14[[#This Row],[Coluna12]]*Tabela14[[#This Row],[Coluna14]]/30*Tabela14[[#This Row],[Coluna11]]</f>
        <v>3.2656679779731199</v>
      </c>
      <c r="Q50" s="13">
        <f>VLOOKUP(Tabela14[[#This Row],[Coluna7]],'tx média'!A:B,2,TRUE)%</f>
        <v>1.6E-2</v>
      </c>
      <c r="R50" s="93" t="str">
        <f>IF(Tabela14[[#This Row],[Coluna8]]/Tabela14[[#This Row],[Coluna14]]&gt;1.2,"Abusivo","Normal")</f>
        <v>Abusivo</v>
      </c>
      <c r="S50" s="18">
        <f>Tabela1[[#This Row],[Coluna4]]</f>
        <v>71.430000000000007</v>
      </c>
      <c r="T50" s="20">
        <f t="shared" si="1"/>
        <v>4.969394786807408</v>
      </c>
      <c r="U50" s="18">
        <f>Tabela1[[#This Row],[Coluna3]]</f>
        <v>180.58</v>
      </c>
      <c r="V50" s="108">
        <f>Tabela14[[#This Row],[Coluna16]]-Tabela14[[#This Row],[Coluna17]]+Tabela14[[#This Row],[Coluna18]]</f>
        <v>247.04060521319261</v>
      </c>
      <c r="W50" s="18">
        <f>W49+Tabela14[[#This Row],[Coluna19]]</f>
        <v>2587.7697593967855</v>
      </c>
    </row>
    <row r="51" spans="1:23" x14ac:dyDescent="0.25">
      <c r="A51" s="1">
        <v>38</v>
      </c>
      <c r="B51" s="27">
        <f t="shared" si="0"/>
        <v>44206</v>
      </c>
      <c r="C51" s="8">
        <f t="shared" si="2"/>
        <v>197.52024060321287</v>
      </c>
      <c r="D51" s="8">
        <f>Tabela1[[#This Row],[Coluna2]]</f>
        <v>0</v>
      </c>
      <c r="E51" s="19">
        <v>0</v>
      </c>
      <c r="F51" s="8">
        <f>Tabela1[[#This Row],[Coluna32]]</f>
        <v>4.93</v>
      </c>
      <c r="G51" s="91">
        <f t="shared" si="3"/>
        <v>3.2656679779731199</v>
      </c>
      <c r="H51" s="8">
        <f>SUM(Tabela14[[#This Row],[Coluna1]:[Coluna4]])</f>
        <v>205.715908581186</v>
      </c>
      <c r="I51" s="8">
        <f>Tabela1[[#This Row],[Coluna6]]</f>
        <v>124.62</v>
      </c>
      <c r="J51" s="9">
        <f>Tabela1[[#This Row],[Coluna7]]</f>
        <v>44206</v>
      </c>
      <c r="K51" s="92">
        <f>Tabela1[[#This Row],[Coluna8]]</f>
        <v>2.7E-2</v>
      </c>
      <c r="L51" s="8">
        <f>Tabela1[[#This Row],[Coluna9]]</f>
        <v>124.62</v>
      </c>
      <c r="M51" s="28">
        <f>Tabela1[[#This Row],[Coluna10]]</f>
        <v>44206</v>
      </c>
      <c r="N51" s="1">
        <f>IF(Tabela14[[#This Row],[Coluna12]]&gt;0,M52-Tabela14[[#This Row],[Coluna10]],Tabela14[[#This Row],[Coluna10]]-Tabela14[[#This Row],[Coluna7]])</f>
        <v>31</v>
      </c>
      <c r="O51" s="18">
        <f>Tabela14[[#This Row],[Coluna5]]-Tabela14[[#This Row],[Coluna9]]</f>
        <v>81.095908581185995</v>
      </c>
      <c r="P51" s="20">
        <f>Tabela14[[#This Row],[Coluna12]]*Tabela14[[#This Row],[Coluna14]]/30*Tabela14[[#This Row],[Coluna11]]</f>
        <v>1.3659254202024427</v>
      </c>
      <c r="Q51" s="13">
        <f>VLOOKUP(Tabela14[[#This Row],[Coluna7]],'tx média'!A:B,2,TRUE)%</f>
        <v>1.6299999999999999E-2</v>
      </c>
      <c r="R51" s="93" t="str">
        <f>IF(Tabela14[[#This Row],[Coluna8]]/Tabela14[[#This Row],[Coluna14]]&gt;1.2,"Abusivo","Normal")</f>
        <v>Abusivo</v>
      </c>
      <c r="S51" s="18">
        <f>Tabela1[[#This Row],[Coluna4]]</f>
        <v>77.709999999999994</v>
      </c>
      <c r="T51" s="20">
        <f t="shared" si="1"/>
        <v>3.2656679779731199</v>
      </c>
      <c r="U51" s="18">
        <f>Tabela1[[#This Row],[Coluna3]]</f>
        <v>0</v>
      </c>
      <c r="V51" s="108">
        <f>Tabela14[[#This Row],[Coluna16]]-Tabela14[[#This Row],[Coluna17]]+Tabela14[[#This Row],[Coluna18]]</f>
        <v>74.44433202202687</v>
      </c>
      <c r="W51" s="18">
        <f>W50+Tabela14[[#This Row],[Coluna19]]</f>
        <v>2662.2140914188126</v>
      </c>
    </row>
    <row r="52" spans="1:23" x14ac:dyDescent="0.25">
      <c r="A52" s="1">
        <v>39</v>
      </c>
      <c r="B52" s="27">
        <f t="shared" si="0"/>
        <v>44237</v>
      </c>
      <c r="C52" s="8">
        <f t="shared" si="2"/>
        <v>81.095908581185995</v>
      </c>
      <c r="D52" s="8">
        <f>Tabela1[[#This Row],[Coluna2]]</f>
        <v>0</v>
      </c>
      <c r="E52" s="19">
        <v>0</v>
      </c>
      <c r="F52" s="8">
        <f>Tabela1[[#This Row],[Coluna32]]</f>
        <v>9.34</v>
      </c>
      <c r="G52" s="91">
        <f t="shared" si="3"/>
        <v>1.3659254202024427</v>
      </c>
      <c r="H52" s="8">
        <f>SUM(Tabela14[[#This Row],[Coluna1]:[Coluna4]])</f>
        <v>91.801834001388443</v>
      </c>
      <c r="I52" s="8">
        <f>Tabela1[[#This Row],[Coluna6]]</f>
        <v>124.62</v>
      </c>
      <c r="J52" s="9">
        <f>Tabela1[[#This Row],[Coluna7]]</f>
        <v>44237</v>
      </c>
      <c r="K52" s="92">
        <f>Tabela1[[#This Row],[Coluna8]]</f>
        <v>2.7E-2</v>
      </c>
      <c r="L52" s="8">
        <f>Tabela1[[#This Row],[Coluna9]]</f>
        <v>124.62</v>
      </c>
      <c r="M52" s="28">
        <f>Tabela1[[#This Row],[Coluna10]]</f>
        <v>44237</v>
      </c>
      <c r="N52" s="1">
        <f>IF(Tabela14[[#This Row],[Coluna12]]&gt;0,M53-Tabela14[[#This Row],[Coluna10]],Tabela14[[#This Row],[Coluna10]]-Tabela14[[#This Row],[Coluna7]])</f>
        <v>0</v>
      </c>
      <c r="O52" s="18">
        <f>Tabela14[[#This Row],[Coluna5]]-Tabela14[[#This Row],[Coluna9]]</f>
        <v>-32.818165998611562</v>
      </c>
      <c r="P52" s="20">
        <f>Tabela14[[#This Row],[Coluna12]]*Tabela14[[#This Row],[Coluna14]]/30*Tabela14[[#This Row],[Coluna11]]</f>
        <v>0</v>
      </c>
      <c r="Q52" s="13">
        <f>VLOOKUP(Tabela14[[#This Row],[Coluna7]],'tx média'!A:B,2,TRUE)%</f>
        <v>1.6200000000000003E-2</v>
      </c>
      <c r="R52" s="93" t="str">
        <f>IF(Tabela14[[#This Row],[Coluna8]]/Tabela14[[#This Row],[Coluna14]]&gt;1.2,"Abusivo","Normal")</f>
        <v>Abusivo</v>
      </c>
      <c r="S52" s="18">
        <f>Tabela1[[#This Row],[Coluna4]]</f>
        <v>76.540000000000006</v>
      </c>
      <c r="T52" s="20">
        <f t="shared" si="1"/>
        <v>1.3659254202024427</v>
      </c>
      <c r="U52" s="18">
        <f>Tabela1[[#This Row],[Coluna3]]</f>
        <v>0</v>
      </c>
      <c r="V52" s="108">
        <f>Tabela14[[#This Row],[Coluna16]]-Tabela14[[#This Row],[Coluna17]]+Tabela14[[#This Row],[Coluna18]]</f>
        <v>75.174074579797562</v>
      </c>
      <c r="W52" s="18">
        <f>W51+Tabela14[[#This Row],[Coluna19]]</f>
        <v>2737.38816599861</v>
      </c>
    </row>
    <row r="53" spans="1:23" x14ac:dyDescent="0.25">
      <c r="A53" s="1">
        <v>40</v>
      </c>
      <c r="B53" s="27">
        <f t="shared" si="0"/>
        <v>44265</v>
      </c>
      <c r="C53" s="8">
        <f>H52-L52</f>
        <v>-32.818165998611562</v>
      </c>
      <c r="D53" s="8">
        <f>Tabela1[[#This Row],[Coluna2]]</f>
        <v>0</v>
      </c>
      <c r="E53" s="19">
        <v>0</v>
      </c>
      <c r="F53" s="8">
        <f>Tabela1[[#This Row],[Coluna32]]</f>
        <v>6.54</v>
      </c>
      <c r="G53" s="91">
        <f t="shared" si="3"/>
        <v>0</v>
      </c>
      <c r="H53" s="50">
        <f>SUM(Tabela14[[#This Row],[Coluna1]:[Coluna4]])</f>
        <v>-26.278165998611563</v>
      </c>
      <c r="I53" s="8">
        <f>Tabela1[[#This Row],[Coluna6]]</f>
        <v>125.29</v>
      </c>
      <c r="J53" s="9">
        <f>Tabela1[[#This Row],[Coluna7]]</f>
        <v>44265</v>
      </c>
      <c r="K53" s="92">
        <f>Tabela1[[#This Row],[Coluna8]]</f>
        <v>2.7E-2</v>
      </c>
      <c r="L53" s="8">
        <f>Tabela1[[#This Row],[Coluna9]]</f>
        <v>125.29</v>
      </c>
      <c r="M53" s="28">
        <f>Tabela1[[#This Row],[Coluna10]]</f>
        <v>44265</v>
      </c>
      <c r="N53" s="1">
        <f>IF(Tabela14[[#This Row],[Coluna12]]&gt;0,M54-Tabela14[[#This Row],[Coluna10]],Tabela14[[#This Row],[Coluna10]]-Tabela14[[#This Row],[Coluna7]])</f>
        <v>0</v>
      </c>
      <c r="O53" s="18">
        <f>Tabela14[[#This Row],[Coluna5]]-Tabela14[[#This Row],[Coluna9]]</f>
        <v>-151.56816599861156</v>
      </c>
      <c r="P53" s="20">
        <f>Tabela14[[#This Row],[Coluna12]]*Tabela14[[#This Row],[Coluna14]]/30*Tabela14[[#This Row],[Coluna11]]</f>
        <v>0</v>
      </c>
      <c r="Q53" s="13">
        <f>VLOOKUP(Tabela14[[#This Row],[Coluna7]],'tx média'!A:B,2,TRUE)%</f>
        <v>1.6200000000000003E-2</v>
      </c>
      <c r="R53" s="93" t="str">
        <f>IF(Tabela14[[#This Row],[Coluna8]]/Tabela14[[#This Row],[Coluna14]]&gt;1.2,"Abusivo","Normal")</f>
        <v>Abusivo</v>
      </c>
      <c r="S53" s="18">
        <f>Tabela1[[#This Row],[Coluna4]]</f>
        <v>68.150000000000006</v>
      </c>
      <c r="T53" s="20">
        <f t="shared" si="1"/>
        <v>0</v>
      </c>
      <c r="U53" s="18">
        <f>Tabela1[[#This Row],[Coluna3]]</f>
        <v>0</v>
      </c>
      <c r="V53" s="108">
        <f>Tabela14[[#This Row],[Coluna16]]-Tabela14[[#This Row],[Coluna17]]+Tabela14[[#This Row],[Coluna18]]</f>
        <v>68.150000000000006</v>
      </c>
      <c r="W53" s="51">
        <f>W52+Tabela14[[#This Row],[Coluna19]]</f>
        <v>2805.5381659986101</v>
      </c>
    </row>
    <row r="54" spans="1:23" x14ac:dyDescent="0.25">
      <c r="M54" s="15"/>
    </row>
    <row r="55" spans="1:23" x14ac:dyDescent="0.25">
      <c r="G55" s="18"/>
      <c r="H55" s="18"/>
    </row>
    <row r="69" spans="5:7" x14ac:dyDescent="0.25">
      <c r="E69" s="15"/>
      <c r="F69" s="15"/>
    </row>
    <row r="70" spans="5:7" x14ac:dyDescent="0.25">
      <c r="E70" s="15"/>
      <c r="F70" s="15"/>
    </row>
    <row r="71" spans="5:7" x14ac:dyDescent="0.25">
      <c r="G71" s="56"/>
    </row>
    <row r="72" spans="5:7" x14ac:dyDescent="0.25">
      <c r="G72" s="20"/>
    </row>
    <row r="73" spans="5:7" x14ac:dyDescent="0.25">
      <c r="G73" s="20"/>
    </row>
    <row r="74" spans="5:7" x14ac:dyDescent="0.25">
      <c r="G74" s="20"/>
    </row>
  </sheetData>
  <mergeCells count="7">
    <mergeCell ref="S11:W11"/>
    <mergeCell ref="C2:D2"/>
    <mergeCell ref="C3:D3"/>
    <mergeCell ref="B5:M5"/>
    <mergeCell ref="B11:M11"/>
    <mergeCell ref="N11:P11"/>
    <mergeCell ref="Q11:R11"/>
  </mergeCells>
  <phoneticPr fontId="10" type="noConversion"/>
  <pageMargins left="0.511811024" right="0.511811024" top="0.78740157499999996" bottom="0.78740157499999996" header="0.31496062000000002" footer="0.31496062000000002"/>
  <pageSetup paperSize="9" scale="53" orientation="portrait" r:id="rId1"/>
  <headerFooter>
    <oddHeader>&amp;R&amp;"Cambria,Negrito"&amp;14Especializado em Perícia Bancária
Diego Lima | CRC-BA 04386/O-6
(Judicial e Extrajudicial)</oddHeader>
    <oddFooter>&amp;C&amp;"Cambria,Negrito"&amp;16ENDEREÇO DO SEU ESCRITÓRIO / E-MAIL / TELEFONE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6BA3B-E0C8-4468-895E-278D329B5C2B}">
  <dimension ref="A1:W74"/>
  <sheetViews>
    <sheetView showGridLines="0" topLeftCell="A4" zoomScale="145" zoomScaleNormal="145" zoomScalePageLayoutView="70" workbookViewId="0">
      <selection activeCell="H15" sqref="H15"/>
    </sheetView>
  </sheetViews>
  <sheetFormatPr defaultRowHeight="14.25" x14ac:dyDescent="0.25"/>
  <cols>
    <col min="1" max="1" width="9.140625" style="1"/>
    <col min="2" max="2" width="12.5703125" style="1" customWidth="1"/>
    <col min="3" max="3" width="15.28515625" style="1" customWidth="1"/>
    <col min="4" max="4" width="10.140625" style="1" customWidth="1"/>
    <col min="5" max="5" width="11.140625" style="1" customWidth="1"/>
    <col min="6" max="6" width="6" style="1" customWidth="1"/>
    <col min="7" max="7" width="10.85546875" style="1" customWidth="1"/>
    <col min="8" max="8" width="11" style="1" bestFit="1" customWidth="1"/>
    <col min="9" max="9" width="12.28515625" style="1" bestFit="1" customWidth="1"/>
    <col min="10" max="10" width="13.140625" style="1" customWidth="1"/>
    <col min="11" max="11" width="12.85546875" style="1" bestFit="1" customWidth="1"/>
    <col min="12" max="12" width="10" style="1" bestFit="1" customWidth="1"/>
    <col min="13" max="13" width="12.7109375" style="1" bestFit="1" customWidth="1"/>
    <col min="14" max="14" width="9.140625" style="1"/>
    <col min="15" max="15" width="15.7109375" style="1" bestFit="1" customWidth="1"/>
    <col min="16" max="16" width="15.7109375" style="1" customWidth="1"/>
    <col min="17" max="17" width="16.5703125" style="1" customWidth="1"/>
    <col min="18" max="18" width="14.28515625" style="1" customWidth="1"/>
    <col min="19" max="19" width="13.140625" style="1" customWidth="1"/>
    <col min="20" max="20" width="14" style="1" customWidth="1"/>
    <col min="21" max="21" width="12.85546875" style="1" customWidth="1"/>
    <col min="22" max="22" width="16.85546875" style="1" customWidth="1"/>
    <col min="23" max="23" width="20.5703125" style="1" customWidth="1"/>
    <col min="24" max="24" width="12" style="1" customWidth="1"/>
    <col min="25" max="16384" width="9.140625" style="1"/>
  </cols>
  <sheetData>
    <row r="1" spans="1:23" x14ac:dyDescent="0.25">
      <c r="H1" s="18"/>
      <c r="I1" s="58"/>
    </row>
    <row r="2" spans="1:23" x14ac:dyDescent="0.25">
      <c r="C2" s="63"/>
      <c r="D2" s="63"/>
      <c r="E2" s="17"/>
      <c r="F2" s="17"/>
      <c r="H2" s="14"/>
      <c r="I2" s="20"/>
      <c r="J2" s="5"/>
    </row>
    <row r="3" spans="1:23" x14ac:dyDescent="0.25">
      <c r="C3" s="63"/>
      <c r="D3" s="63"/>
      <c r="E3" s="17"/>
      <c r="F3" s="17"/>
      <c r="H3" s="18"/>
      <c r="K3" s="6"/>
    </row>
    <row r="4" spans="1:23" ht="16.5" thickBot="1" x14ac:dyDescent="0.3">
      <c r="B4" s="4"/>
      <c r="H4" s="15"/>
      <c r="I4" s="15"/>
      <c r="J4" s="16"/>
      <c r="K4" s="5"/>
      <c r="L4" s="13"/>
    </row>
    <row r="5" spans="1:23" ht="18.75" thickBot="1" x14ac:dyDescent="0.3">
      <c r="B5" s="60" t="s">
        <v>86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23" ht="4.5" customHeight="1" thickBot="1" x14ac:dyDescent="0.3">
      <c r="B6" s="4"/>
      <c r="J6" s="7"/>
    </row>
    <row r="7" spans="1:23" x14ac:dyDescent="0.25">
      <c r="B7" s="25" t="s">
        <v>70</v>
      </c>
      <c r="C7" s="21"/>
      <c r="D7" s="22"/>
      <c r="J7" s="7"/>
    </row>
    <row r="8" spans="1:23" x14ac:dyDescent="0.25">
      <c r="B8" s="87" t="s">
        <v>71</v>
      </c>
      <c r="C8" s="88"/>
      <c r="D8" s="89"/>
      <c r="I8" s="18"/>
      <c r="J8" s="5"/>
      <c r="K8" s="57"/>
    </row>
    <row r="9" spans="1:23" ht="15" thickBot="1" x14ac:dyDescent="0.3">
      <c r="B9" s="26" t="s">
        <v>37</v>
      </c>
      <c r="C9" s="23"/>
      <c r="D9" s="24"/>
      <c r="H9" s="18"/>
      <c r="J9" s="7"/>
    </row>
    <row r="10" spans="1:23" ht="4.5" customHeight="1" thickBot="1" x14ac:dyDescent="0.3">
      <c r="B10" s="4"/>
      <c r="J10" s="7"/>
    </row>
    <row r="11" spans="1:23" s="12" customFormat="1" ht="22.5" customHeight="1" thickBot="1" x14ac:dyDescent="0.3">
      <c r="B11" s="64" t="s">
        <v>32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6"/>
      <c r="N11" s="94" t="s">
        <v>74</v>
      </c>
      <c r="O11" s="95"/>
      <c r="P11" s="96"/>
      <c r="Q11" s="67" t="s">
        <v>78</v>
      </c>
      <c r="R11" s="68"/>
      <c r="S11" s="104" t="s">
        <v>31</v>
      </c>
      <c r="T11" s="105"/>
      <c r="U11" s="105"/>
      <c r="V11" s="105"/>
      <c r="W11" s="106"/>
    </row>
    <row r="12" spans="1:23" ht="21" hidden="1" customHeight="1" thickBot="1" x14ac:dyDescent="0.3">
      <c r="B12" s="11" t="s">
        <v>10</v>
      </c>
      <c r="C12" s="11" t="s">
        <v>15</v>
      </c>
      <c r="D12" s="11" t="s">
        <v>16</v>
      </c>
      <c r="E12" s="11" t="s">
        <v>17</v>
      </c>
      <c r="F12" s="11" t="s">
        <v>52</v>
      </c>
      <c r="G12" s="11" t="s">
        <v>18</v>
      </c>
      <c r="H12" s="11" t="s">
        <v>19</v>
      </c>
      <c r="I12" s="11" t="s">
        <v>20</v>
      </c>
      <c r="J12" s="11" t="s">
        <v>21</v>
      </c>
      <c r="K12" s="11" t="s">
        <v>22</v>
      </c>
      <c r="L12" s="11" t="s">
        <v>23</v>
      </c>
      <c r="M12" s="11" t="s">
        <v>24</v>
      </c>
      <c r="N12" s="29" t="s">
        <v>25</v>
      </c>
      <c r="O12" s="29" t="s">
        <v>26</v>
      </c>
      <c r="P12" s="29" t="s">
        <v>27</v>
      </c>
      <c r="Q12" s="29" t="s">
        <v>76</v>
      </c>
      <c r="R12" s="29" t="s">
        <v>77</v>
      </c>
      <c r="S12" s="29" t="s">
        <v>81</v>
      </c>
      <c r="T12" s="29" t="s">
        <v>28</v>
      </c>
      <c r="U12" s="29" t="s">
        <v>29</v>
      </c>
      <c r="V12" s="29" t="s">
        <v>30</v>
      </c>
      <c r="W12" s="29" t="s">
        <v>36</v>
      </c>
    </row>
    <row r="13" spans="1:23" s="2" customFormat="1" ht="36" customHeight="1" thickBot="1" x14ac:dyDescent="0.3">
      <c r="B13" s="53" t="s">
        <v>49</v>
      </c>
      <c r="C13" s="90" t="s">
        <v>55</v>
      </c>
      <c r="D13" s="54" t="s">
        <v>51</v>
      </c>
      <c r="E13" s="59" t="s">
        <v>50</v>
      </c>
      <c r="F13" s="54" t="s">
        <v>7</v>
      </c>
      <c r="G13" s="90" t="s">
        <v>9</v>
      </c>
      <c r="H13" s="54" t="s">
        <v>1</v>
      </c>
      <c r="I13" s="54" t="s">
        <v>2</v>
      </c>
      <c r="J13" s="54" t="s">
        <v>3</v>
      </c>
      <c r="K13" s="54" t="s">
        <v>11</v>
      </c>
      <c r="L13" s="54" t="s">
        <v>4</v>
      </c>
      <c r="M13" s="55" t="s">
        <v>5</v>
      </c>
      <c r="N13" s="97" t="s">
        <v>6</v>
      </c>
      <c r="O13" s="97" t="s">
        <v>72</v>
      </c>
      <c r="P13" s="97" t="s">
        <v>73</v>
      </c>
      <c r="Q13" s="103" t="s">
        <v>75</v>
      </c>
      <c r="R13" s="103" t="s">
        <v>8</v>
      </c>
      <c r="S13" s="107" t="s">
        <v>53</v>
      </c>
      <c r="T13" s="107" t="s">
        <v>54</v>
      </c>
      <c r="U13" s="107" t="s">
        <v>82</v>
      </c>
      <c r="V13" s="107" t="s">
        <v>83</v>
      </c>
      <c r="W13" s="107" t="s">
        <v>84</v>
      </c>
    </row>
    <row r="14" spans="1:23" x14ac:dyDescent="0.25">
      <c r="A14" s="1">
        <v>1</v>
      </c>
      <c r="B14" s="27">
        <v>43079</v>
      </c>
      <c r="C14" s="8">
        <f>0-Tabela145[[#This Row],[Coluna19]]</f>
        <v>-173.6284</v>
      </c>
      <c r="D14" s="8">
        <f>Tabela1[[#This Row],[Coluna2]]</f>
        <v>2881.35</v>
      </c>
      <c r="E14" s="19">
        <v>0</v>
      </c>
      <c r="F14" s="8">
        <f>Tabela1[[#This Row],[Coluna32]]</f>
        <v>16.619999999999997</v>
      </c>
      <c r="G14" s="91">
        <f>'AULA RMC'!D13</f>
        <v>46.101600000000005</v>
      </c>
      <c r="H14" s="8">
        <f>SUM(Tabela145[[#This Row],[Coluna1]:[Coluna4]])</f>
        <v>2770.4431999999997</v>
      </c>
      <c r="I14" s="8">
        <f>Tabela1[[#This Row],[Coluna6]]</f>
        <v>112.32</v>
      </c>
      <c r="J14" s="9">
        <f>Tabela1[[#This Row],[Coluna7]]</f>
        <v>43079</v>
      </c>
      <c r="K14" s="92">
        <f>Tabela1[[#This Row],[Coluna8]]</f>
        <v>0.03</v>
      </c>
      <c r="L14" s="8">
        <f>Tabela1[[#This Row],[Coluna9]]</f>
        <v>112.32</v>
      </c>
      <c r="M14" s="28">
        <f>Tabela1[[#This Row],[Coluna10]]</f>
        <v>43079</v>
      </c>
      <c r="N14" s="1">
        <f>IF(Tabela145[[#This Row],[Coluna12]]&gt;0,M15-Tabela145[[#This Row],[Coluna10]],Tabela145[[#This Row],[Coluna10]]-Tabela145[[#This Row],[Coluna7]])</f>
        <v>31</v>
      </c>
      <c r="O14" s="18">
        <f>Tabela145[[#This Row],[Coluna5]]-Tabela145[[#This Row],[Coluna9]]</f>
        <v>2658.1231999999995</v>
      </c>
      <c r="P14" s="20">
        <f>Tabela145[[#This Row],[Coluna12]]*Tabela145[[#This Row],[Coluna14]]/30*Tabela145[[#This Row],[Coluna11]]</f>
        <v>54.934546133333328</v>
      </c>
      <c r="Q14" s="13">
        <f>VLOOKUP(Tabela145[[#This Row],[Coluna7]],'tx média'!A:B,2,TRUE)%</f>
        <v>0.02</v>
      </c>
      <c r="R14" s="93" t="str">
        <f>IF(Tabela145[[#This Row],[Coluna8]]/Tabela145[[#This Row],[Coluna14]]&gt;1.2,"Abusivo","Normal")</f>
        <v>Abusivo</v>
      </c>
      <c r="S14" s="18">
        <f>Tabela1[[#This Row],[Coluna4]]</f>
        <v>69.150000000000006</v>
      </c>
      <c r="T14" s="18">
        <f>Tabela145[[#This Row],[Coluna4]]</f>
        <v>46.101600000000005</v>
      </c>
      <c r="U14" s="18">
        <f>Tabela1[[#This Row],[Coluna3]]</f>
        <v>150.58000000000001</v>
      </c>
      <c r="V14" s="108">
        <f>Tabela145[[#This Row],[Coluna16]]-Tabela145[[#This Row],[Coluna17]]+Tabela145[[#This Row],[Coluna18]]</f>
        <v>173.6284</v>
      </c>
      <c r="W14" s="18">
        <f>Tabela145[[#This Row],[Coluna19]]</f>
        <v>173.6284</v>
      </c>
    </row>
    <row r="15" spans="1:23" x14ac:dyDescent="0.25">
      <c r="A15" s="1">
        <v>2</v>
      </c>
      <c r="B15" s="27">
        <f>EDATE(B14,1)</f>
        <v>43110</v>
      </c>
      <c r="C15" s="8">
        <f>H14-L14-Tabela145[[#This Row],[Coluna19]]</f>
        <v>2615.0377461333328</v>
      </c>
      <c r="D15" s="8">
        <f>Tabela1[[#This Row],[Coluna2]]</f>
        <v>0</v>
      </c>
      <c r="E15" s="19">
        <v>0</v>
      </c>
      <c r="F15" s="8">
        <f>Tabela1[[#This Row],[Coluna32]]</f>
        <v>18.71</v>
      </c>
      <c r="G15" s="91">
        <f>P14</f>
        <v>54.934546133333328</v>
      </c>
      <c r="H15" s="8">
        <f>SUM(Tabela145[[#This Row],[Coluna1]:[Coluna4]])</f>
        <v>2688.6822922666661</v>
      </c>
      <c r="I15" s="8">
        <f>Tabela1[[#This Row],[Coluna6]]</f>
        <v>112.32</v>
      </c>
      <c r="J15" s="9">
        <f>Tabela1[[#This Row],[Coluna7]]</f>
        <v>43110</v>
      </c>
      <c r="K15" s="92">
        <f>Tabela1[[#This Row],[Coluna8]]</f>
        <v>0.03</v>
      </c>
      <c r="L15" s="8">
        <f>Tabela1[[#This Row],[Coluna9]]</f>
        <v>112.32</v>
      </c>
      <c r="M15" s="28">
        <f>Tabela1[[#This Row],[Coluna10]]</f>
        <v>43110</v>
      </c>
      <c r="N15" s="1">
        <f>IF(Tabela145[[#This Row],[Coluna12]]&gt;0,M16-Tabela145[[#This Row],[Coluna10]],Tabela145[[#This Row],[Coluna10]]-Tabela145[[#This Row],[Coluna7]])</f>
        <v>31</v>
      </c>
      <c r="O15" s="18">
        <f>Tabela145[[#This Row],[Coluna5]]-Tabela145[[#This Row],[Coluna9]]</f>
        <v>2576.3622922666659</v>
      </c>
      <c r="P15" s="20">
        <f>Tabela145[[#This Row],[Coluna12]]*Tabela145[[#This Row],[Coluna14]]/30*Tabela145[[#This Row],[Coluna11]]</f>
        <v>53.244820706844429</v>
      </c>
      <c r="Q15" s="13">
        <f>VLOOKUP(Tabela145[[#This Row],[Coluna7]],'tx média'!A:B,2,TRUE)%</f>
        <v>0.02</v>
      </c>
      <c r="R15" s="93" t="str">
        <f>IF(Tabela145[[#This Row],[Coluna8]]/Tabela145[[#This Row],[Coluna14]]&gt;1.2,"Abusivo","Normal")</f>
        <v>Abusivo</v>
      </c>
      <c r="S15" s="18">
        <f>Tabela1[[#This Row],[Coluna4]]</f>
        <v>93.02</v>
      </c>
      <c r="T15" s="20">
        <f>P14</f>
        <v>54.934546133333328</v>
      </c>
      <c r="U15" s="18">
        <f>Tabela1[[#This Row],[Coluna3]]</f>
        <v>5</v>
      </c>
      <c r="V15" s="108">
        <f>Tabela145[[#This Row],[Coluna16]]-Tabela145[[#This Row],[Coluna17]]+Tabela145[[#This Row],[Coluna18]]</f>
        <v>43.085453866666668</v>
      </c>
      <c r="W15" s="18">
        <f>W14+Tabela145[[#This Row],[Coluna19]]</f>
        <v>216.71385386666668</v>
      </c>
    </row>
    <row r="16" spans="1:23" x14ac:dyDescent="0.25">
      <c r="A16" s="1">
        <v>3</v>
      </c>
      <c r="B16" s="27">
        <f t="shared" ref="B16:B53" si="0">EDATE(B15,1)</f>
        <v>43141</v>
      </c>
      <c r="C16" s="8">
        <f>H15-L15-Tabela145[[#This Row],[Coluna19]]</f>
        <v>2531.2971129735101</v>
      </c>
      <c r="D16" s="8">
        <f>Tabela1[[#This Row],[Coluna2]]</f>
        <v>0</v>
      </c>
      <c r="E16" s="19">
        <v>0</v>
      </c>
      <c r="F16" s="8">
        <f>Tabela1[[#This Row],[Coluna32]]</f>
        <v>8.0500000000000007</v>
      </c>
      <c r="G16" s="91">
        <f>P15</f>
        <v>53.244820706844429</v>
      </c>
      <c r="H16" s="8">
        <f>SUM(Tabela145[[#This Row],[Coluna1]:[Coluna4]])</f>
        <v>2592.5919336803549</v>
      </c>
      <c r="I16" s="8">
        <f>Tabela1[[#This Row],[Coluna6]]</f>
        <v>112.32</v>
      </c>
      <c r="J16" s="9">
        <f>Tabela1[[#This Row],[Coluna7]]</f>
        <v>43141</v>
      </c>
      <c r="K16" s="92">
        <f>Tabela1[[#This Row],[Coluna8]]</f>
        <v>0.03</v>
      </c>
      <c r="L16" s="8">
        <f>Tabela1[[#This Row],[Coluna9]]</f>
        <v>112.32</v>
      </c>
      <c r="M16" s="28">
        <f>Tabela1[[#This Row],[Coluna10]]</f>
        <v>43141</v>
      </c>
      <c r="N16" s="1">
        <f>IF(Tabela145[[#This Row],[Coluna12]]&gt;0,M17-Tabela145[[#This Row],[Coluna10]],Tabela145[[#This Row],[Coluna10]]-Tabela145[[#This Row],[Coluna7]])</f>
        <v>28</v>
      </c>
      <c r="O16" s="18">
        <f>Tabela145[[#This Row],[Coluna5]]-Tabela145[[#This Row],[Coluna9]]</f>
        <v>2480.2719336803548</v>
      </c>
      <c r="P16" s="20">
        <f>Tabela145[[#This Row],[Coluna12]]*Tabela145[[#This Row],[Coluna14]]/30*Tabela145[[#This Row],[Coluna11]]</f>
        <v>46.529901475843445</v>
      </c>
      <c r="Q16" s="13">
        <f>VLOOKUP(Tabela145[[#This Row],[Coluna7]],'tx média'!A:B,2,TRUE)%</f>
        <v>2.0099999999999996E-2</v>
      </c>
      <c r="R16" s="93" t="str">
        <f>IF(Tabela145[[#This Row],[Coluna8]]/Tabela145[[#This Row],[Coluna14]]&gt;1.2,"Abusivo","Normal")</f>
        <v>Abusivo</v>
      </c>
      <c r="S16" s="18">
        <f>Tabela1[[#This Row],[Coluna4]]</f>
        <v>93.31</v>
      </c>
      <c r="T16" s="20">
        <f t="shared" ref="T16:T53" si="1">P15</f>
        <v>53.244820706844429</v>
      </c>
      <c r="U16" s="18">
        <f>Tabela1[[#This Row],[Coluna3]]</f>
        <v>5</v>
      </c>
      <c r="V16" s="108">
        <f>Tabela145[[#This Row],[Coluna16]]-Tabela145[[#This Row],[Coluna17]]+Tabela145[[#This Row],[Coluna18]]</f>
        <v>45.065179293155573</v>
      </c>
      <c r="W16" s="18">
        <f>W15+Tabela145[[#This Row],[Coluna19]]</f>
        <v>261.77903315982223</v>
      </c>
    </row>
    <row r="17" spans="1:23" x14ac:dyDescent="0.25">
      <c r="A17" s="1">
        <v>4</v>
      </c>
      <c r="B17" s="27">
        <f t="shared" si="0"/>
        <v>43169</v>
      </c>
      <c r="C17" s="8">
        <f>H16-L16-Tabela145[[#This Row],[Coluna19]]</f>
        <v>2442.6918351561981</v>
      </c>
      <c r="D17" s="8">
        <f>Tabela1[[#This Row],[Coluna2]]</f>
        <v>0</v>
      </c>
      <c r="E17" s="19">
        <v>0</v>
      </c>
      <c r="F17" s="8">
        <f>Tabela1[[#This Row],[Coluna32]]</f>
        <v>7.3</v>
      </c>
      <c r="G17" s="91">
        <f t="shared" ref="G17:G53" si="2">P16</f>
        <v>46.529901475843445</v>
      </c>
      <c r="H17" s="8">
        <f>SUM(Tabela145[[#This Row],[Coluna1]:[Coluna4]])</f>
        <v>2496.5217366320417</v>
      </c>
      <c r="I17" s="8">
        <f>Tabela1[[#This Row],[Coluna6]]</f>
        <v>112.32</v>
      </c>
      <c r="J17" s="9">
        <f>Tabela1[[#This Row],[Coluna7]]</f>
        <v>43169</v>
      </c>
      <c r="K17" s="92">
        <f>Tabela1[[#This Row],[Coluna8]]</f>
        <v>0.03</v>
      </c>
      <c r="L17" s="8">
        <f>Tabela1[[#This Row],[Coluna9]]</f>
        <v>112.32</v>
      </c>
      <c r="M17" s="28">
        <f>Tabela1[[#This Row],[Coluna10]]</f>
        <v>43169</v>
      </c>
      <c r="N17" s="1">
        <f>IF(Tabela145[[#This Row],[Coluna12]]&gt;0,M18-Tabela145[[#This Row],[Coluna10]],Tabela145[[#This Row],[Coluna10]]-Tabela145[[#This Row],[Coluna7]])</f>
        <v>31</v>
      </c>
      <c r="O17" s="18">
        <f>Tabela145[[#This Row],[Coluna5]]-Tabela145[[#This Row],[Coluna9]]</f>
        <v>2384.2017366320415</v>
      </c>
      <c r="P17" s="20">
        <f>Tabela145[[#This Row],[Coluna12]]*Tabela145[[#This Row],[Coluna14]]/30*Tabela145[[#This Row],[Coluna11]]</f>
        <v>49.273502557062194</v>
      </c>
      <c r="Q17" s="13">
        <f>VLOOKUP(Tabela145[[#This Row],[Coluna7]],'tx média'!A:B,2,TRUE)%</f>
        <v>0.02</v>
      </c>
      <c r="R17" s="93" t="str">
        <f>IF(Tabela145[[#This Row],[Coluna8]]/Tabela145[[#This Row],[Coluna14]]&gt;1.2,"Abusivo","Normal")</f>
        <v>Abusivo</v>
      </c>
      <c r="S17" s="18">
        <f>Tabela1[[#This Row],[Coluna4]]</f>
        <v>84.11</v>
      </c>
      <c r="T17" s="20">
        <f t="shared" si="1"/>
        <v>46.529901475843445</v>
      </c>
      <c r="U17" s="18">
        <f>Tabela1[[#This Row],[Coluna3]]</f>
        <v>0</v>
      </c>
      <c r="V17" s="108">
        <f>Tabela145[[#This Row],[Coluna16]]-Tabela145[[#This Row],[Coluna17]]+Tabela145[[#This Row],[Coluna18]]</f>
        <v>37.580098524156554</v>
      </c>
      <c r="W17" s="18">
        <f>W16+Tabela145[[#This Row],[Coluna19]]</f>
        <v>299.35913168397877</v>
      </c>
    </row>
    <row r="18" spans="1:23" x14ac:dyDescent="0.25">
      <c r="A18" s="1">
        <v>5</v>
      </c>
      <c r="B18" s="27">
        <f t="shared" si="0"/>
        <v>43200</v>
      </c>
      <c r="C18" s="8">
        <f>H17-L17-Tabela145[[#This Row],[Coluna19]]</f>
        <v>2340.9952391891038</v>
      </c>
      <c r="D18" s="8">
        <f>Tabela1[[#This Row],[Coluna2]]</f>
        <v>0</v>
      </c>
      <c r="E18" s="19">
        <v>0</v>
      </c>
      <c r="F18" s="8">
        <f>Tabela1[[#This Row],[Coluna32]]</f>
        <v>7.92</v>
      </c>
      <c r="G18" s="91">
        <f t="shared" si="2"/>
        <v>49.273502557062194</v>
      </c>
      <c r="H18" s="8">
        <f>SUM(Tabela145[[#This Row],[Coluna1]:[Coluna4]])</f>
        <v>2398.1887417461662</v>
      </c>
      <c r="I18" s="8">
        <f>Tabela1[[#This Row],[Coluna6]]</f>
        <v>112.32</v>
      </c>
      <c r="J18" s="9">
        <f>Tabela1[[#This Row],[Coluna7]]</f>
        <v>43200</v>
      </c>
      <c r="K18" s="92">
        <f>Tabela1[[#This Row],[Coluna8]]</f>
        <v>0.03</v>
      </c>
      <c r="L18" s="8">
        <f>Tabela1[[#This Row],[Coluna9]]</f>
        <v>112.32</v>
      </c>
      <c r="M18" s="28">
        <f>Tabela1[[#This Row],[Coluna10]]</f>
        <v>43200</v>
      </c>
      <c r="N18" s="1">
        <f>IF(Tabela145[[#This Row],[Coluna12]]&gt;0,M19-Tabela145[[#This Row],[Coluna10]],Tabela145[[#This Row],[Coluna10]]-Tabela145[[#This Row],[Coluna7]])</f>
        <v>30</v>
      </c>
      <c r="O18" s="18">
        <f>Tabela145[[#This Row],[Coluna5]]-Tabela145[[#This Row],[Coluna9]]</f>
        <v>2285.8687417461661</v>
      </c>
      <c r="P18" s="20">
        <f>Tabela145[[#This Row],[Coluna12]]*Tabela145[[#This Row],[Coluna14]]/30*Tabela145[[#This Row],[Coluna11]]</f>
        <v>45.260201086574085</v>
      </c>
      <c r="Q18" s="13">
        <f>VLOOKUP(Tabela145[[#This Row],[Coluna7]],'tx média'!A:B,2,TRUE)%</f>
        <v>1.9799999999999998E-2</v>
      </c>
      <c r="R18" s="93" t="str">
        <f>IF(Tabela145[[#This Row],[Coluna8]]/Tabela145[[#This Row],[Coluna14]]&gt;1.2,"Abusivo","Normal")</f>
        <v>Abusivo</v>
      </c>
      <c r="S18" s="18">
        <f>Tabela1[[#This Row],[Coluna4]]</f>
        <v>92.48</v>
      </c>
      <c r="T18" s="20">
        <f t="shared" si="1"/>
        <v>49.273502557062194</v>
      </c>
      <c r="U18" s="18">
        <f>Tabela1[[#This Row],[Coluna3]]</f>
        <v>0</v>
      </c>
      <c r="V18" s="108">
        <f>Tabela145[[#This Row],[Coluna16]]-Tabela145[[#This Row],[Coluna17]]+Tabela145[[#This Row],[Coluna18]]</f>
        <v>43.20649744293781</v>
      </c>
      <c r="W18" s="18">
        <f>W17+Tabela145[[#This Row],[Coluna19]]</f>
        <v>342.56562912691658</v>
      </c>
    </row>
    <row r="19" spans="1:23" x14ac:dyDescent="0.25">
      <c r="A19" s="1">
        <v>6</v>
      </c>
      <c r="B19" s="27">
        <f t="shared" si="0"/>
        <v>43230</v>
      </c>
      <c r="C19" s="8">
        <f>H18-L18-Tabela145[[#This Row],[Coluna19]]</f>
        <v>2241.9989428327403</v>
      </c>
      <c r="D19" s="8">
        <f>Tabela1[[#This Row],[Coluna2]]</f>
        <v>0</v>
      </c>
      <c r="E19" s="19">
        <v>0</v>
      </c>
      <c r="F19" s="8">
        <f>Tabela1[[#This Row],[Coluna32]]</f>
        <v>7.69</v>
      </c>
      <c r="G19" s="91">
        <f t="shared" si="2"/>
        <v>45.260201086574085</v>
      </c>
      <c r="H19" s="8">
        <f>SUM(Tabela145[[#This Row],[Coluna1]:[Coluna4]])</f>
        <v>2294.9491439193143</v>
      </c>
      <c r="I19" s="8">
        <f>Tabela1[[#This Row],[Coluna6]]</f>
        <v>112.32</v>
      </c>
      <c r="J19" s="9">
        <f>Tabela1[[#This Row],[Coluna7]]</f>
        <v>43230</v>
      </c>
      <c r="K19" s="92">
        <f>Tabela1[[#This Row],[Coluna8]]</f>
        <v>0.03</v>
      </c>
      <c r="L19" s="8">
        <f>Tabela1[[#This Row],[Coluna9]]</f>
        <v>112.32</v>
      </c>
      <c r="M19" s="28">
        <f>Tabela1[[#This Row],[Coluna10]]</f>
        <v>43230</v>
      </c>
      <c r="N19" s="1">
        <f>IF(Tabela145[[#This Row],[Coluna12]]&gt;0,M20-Tabela145[[#This Row],[Coluna10]],Tabela145[[#This Row],[Coluna10]]-Tabela145[[#This Row],[Coluna7]])</f>
        <v>31</v>
      </c>
      <c r="O19" s="18">
        <f>Tabela145[[#This Row],[Coluna5]]-Tabela145[[#This Row],[Coluna9]]</f>
        <v>2182.6291439193142</v>
      </c>
      <c r="P19" s="20">
        <f>Tabela145[[#This Row],[Coluna12]]*Tabela145[[#This Row],[Coluna14]]/30*Tabela145[[#This Row],[Coluna11]]</f>
        <v>44.205515594845835</v>
      </c>
      <c r="Q19" s="13">
        <f>VLOOKUP(Tabela145[[#This Row],[Coluna7]],'tx média'!A:B,2,TRUE)%</f>
        <v>1.9599999999999999E-2</v>
      </c>
      <c r="R19" s="93" t="str">
        <f>IF(Tabela145[[#This Row],[Coluna8]]/Tabela145[[#This Row],[Coluna14]]&gt;1.2,"Abusivo","Normal")</f>
        <v>Abusivo</v>
      </c>
      <c r="S19" s="18">
        <f>Tabela1[[#This Row],[Coluna4]]</f>
        <v>89.13</v>
      </c>
      <c r="T19" s="20">
        <f t="shared" si="1"/>
        <v>45.260201086574085</v>
      </c>
      <c r="U19" s="18">
        <f>Tabela1[[#This Row],[Coluna3]]</f>
        <v>0</v>
      </c>
      <c r="V19" s="108">
        <f>Tabela145[[#This Row],[Coluna16]]-Tabela145[[#This Row],[Coluna17]]+Tabela145[[#This Row],[Coluna18]]</f>
        <v>43.86979891342591</v>
      </c>
      <c r="W19" s="18">
        <f>W18+Tabela145[[#This Row],[Coluna19]]</f>
        <v>386.43542804034246</v>
      </c>
    </row>
    <row r="20" spans="1:23" x14ac:dyDescent="0.25">
      <c r="A20" s="1">
        <v>7</v>
      </c>
      <c r="B20" s="27">
        <f t="shared" si="0"/>
        <v>43261</v>
      </c>
      <c r="C20" s="8">
        <f>H19-L19-Tabela145[[#This Row],[Coluna19]]</f>
        <v>2135.2146595141598</v>
      </c>
      <c r="D20" s="8">
        <f>Tabela1[[#This Row],[Coluna2]]</f>
        <v>0</v>
      </c>
      <c r="E20" s="19">
        <v>0</v>
      </c>
      <c r="F20" s="8">
        <f>Tabela1[[#This Row],[Coluna32]]</f>
        <v>7.88</v>
      </c>
      <c r="G20" s="91">
        <f t="shared" si="2"/>
        <v>44.205515594845835</v>
      </c>
      <c r="H20" s="8">
        <f>SUM(Tabela145[[#This Row],[Coluna1]:[Coluna4]])</f>
        <v>2187.300175109006</v>
      </c>
      <c r="I20" s="8">
        <f>Tabela1[[#This Row],[Coluna6]]</f>
        <v>112.32</v>
      </c>
      <c r="J20" s="9">
        <f>Tabela1[[#This Row],[Coluna7]]</f>
        <v>43261</v>
      </c>
      <c r="K20" s="92">
        <f>Tabela1[[#This Row],[Coluna8]]</f>
        <v>0.03</v>
      </c>
      <c r="L20" s="8">
        <f>Tabela1[[#This Row],[Coluna9]]</f>
        <v>112.32</v>
      </c>
      <c r="M20" s="28">
        <f>Tabela1[[#This Row],[Coluna10]]</f>
        <v>43261</v>
      </c>
      <c r="N20" s="1">
        <f>IF(Tabela145[[#This Row],[Coluna12]]&gt;0,M21-Tabela145[[#This Row],[Coluna10]],Tabela145[[#This Row],[Coluna10]]-Tabela145[[#This Row],[Coluna7]])</f>
        <v>30</v>
      </c>
      <c r="O20" s="18">
        <f>Tabela145[[#This Row],[Coluna5]]-Tabela145[[#This Row],[Coluna9]]</f>
        <v>2074.9801751090058</v>
      </c>
      <c r="P20" s="20">
        <f>Tabela145[[#This Row],[Coluna12]]*Tabela145[[#This Row],[Coluna14]]/30*Tabela145[[#This Row],[Coluna11]]</f>
        <v>40.047117379603804</v>
      </c>
      <c r="Q20" s="13">
        <f>VLOOKUP(Tabela145[[#This Row],[Coluna7]],'tx média'!A:B,2,TRUE)%</f>
        <v>1.9299999999999998E-2</v>
      </c>
      <c r="R20" s="93" t="str">
        <f>IF(Tabela145[[#This Row],[Coluna8]]/Tabela145[[#This Row],[Coluna14]]&gt;1.2,"Abusivo","Normal")</f>
        <v>Abusivo</v>
      </c>
      <c r="S20" s="18">
        <f>Tabela1[[#This Row],[Coluna4]]</f>
        <v>91.62</v>
      </c>
      <c r="T20" s="20">
        <f t="shared" si="1"/>
        <v>44.205515594845835</v>
      </c>
      <c r="U20" s="18">
        <f>Tabela1[[#This Row],[Coluna3]]</f>
        <v>0</v>
      </c>
      <c r="V20" s="108">
        <f>Tabela145[[#This Row],[Coluna16]]-Tabela145[[#This Row],[Coluna17]]+Tabela145[[#This Row],[Coluna18]]</f>
        <v>47.41448440515417</v>
      </c>
      <c r="W20" s="18">
        <f>W19+Tabela145[[#This Row],[Coluna19]]</f>
        <v>433.84991244549661</v>
      </c>
    </row>
    <row r="21" spans="1:23" x14ac:dyDescent="0.25">
      <c r="A21" s="1">
        <v>8</v>
      </c>
      <c r="B21" s="27">
        <f t="shared" si="0"/>
        <v>43291</v>
      </c>
      <c r="C21" s="8">
        <f>H20-L20-Tabela145[[#This Row],[Coluna19]]</f>
        <v>2026.7472924886097</v>
      </c>
      <c r="D21" s="8">
        <f>Tabela1[[#This Row],[Coluna2]]</f>
        <v>0</v>
      </c>
      <c r="E21" s="19">
        <v>0</v>
      </c>
      <c r="F21" s="8">
        <f>Tabela1[[#This Row],[Coluna32]]</f>
        <v>7.62</v>
      </c>
      <c r="G21" s="91">
        <f t="shared" si="2"/>
        <v>40.047117379603804</v>
      </c>
      <c r="H21" s="8">
        <f>SUM(Tabela145[[#This Row],[Coluna1]:[Coluna4]])</f>
        <v>2074.4144098682132</v>
      </c>
      <c r="I21" s="8">
        <f>Tabela1[[#This Row],[Coluna6]]</f>
        <v>112.32</v>
      </c>
      <c r="J21" s="9">
        <f>Tabela1[[#This Row],[Coluna7]]</f>
        <v>43291</v>
      </c>
      <c r="K21" s="92">
        <f>Tabela1[[#This Row],[Coluna8]]</f>
        <v>0.03</v>
      </c>
      <c r="L21" s="8">
        <f>Tabela1[[#This Row],[Coluna9]]</f>
        <v>112.32</v>
      </c>
      <c r="M21" s="28">
        <f>Tabela1[[#This Row],[Coluna10]]</f>
        <v>43291</v>
      </c>
      <c r="N21" s="1">
        <f>IF(Tabela145[[#This Row],[Coluna12]]&gt;0,M22-Tabela145[[#This Row],[Coluna10]],Tabela145[[#This Row],[Coluna10]]-Tabela145[[#This Row],[Coluna7]])</f>
        <v>31</v>
      </c>
      <c r="O21" s="18">
        <f>Tabela145[[#This Row],[Coluna5]]-Tabela145[[#This Row],[Coluna9]]</f>
        <v>1962.0944098682132</v>
      </c>
      <c r="P21" s="20">
        <f>Tabela145[[#This Row],[Coluna12]]*Tabela145[[#This Row],[Coluna14]]/30*Tabela145[[#This Row],[Coluna11]]</f>
        <v>38.725203336098971</v>
      </c>
      <c r="Q21" s="13">
        <f>VLOOKUP(Tabela145[[#This Row],[Coluna7]],'tx média'!A:B,2,TRUE)%</f>
        <v>1.9099999999999999E-2</v>
      </c>
      <c r="R21" s="93" t="str">
        <f>IF(Tabela145[[#This Row],[Coluna8]]/Tabela145[[#This Row],[Coluna14]]&gt;1.2,"Abusivo","Normal")</f>
        <v>Abusivo</v>
      </c>
      <c r="S21" s="18">
        <f>Tabela1[[#This Row],[Coluna4]]</f>
        <v>88.28</v>
      </c>
      <c r="T21" s="20">
        <f t="shared" si="1"/>
        <v>40.047117379603804</v>
      </c>
      <c r="U21" s="18">
        <f>Tabela1[[#This Row],[Coluna3]]</f>
        <v>0</v>
      </c>
      <c r="V21" s="108">
        <f>Tabela145[[#This Row],[Coluna16]]-Tabela145[[#This Row],[Coluna17]]+Tabela145[[#This Row],[Coluna18]]</f>
        <v>48.232882620396197</v>
      </c>
      <c r="W21" s="18">
        <f>W20+Tabela145[[#This Row],[Coluna19]]</f>
        <v>482.08279506589281</v>
      </c>
    </row>
    <row r="22" spans="1:23" x14ac:dyDescent="0.25">
      <c r="A22" s="1">
        <v>9</v>
      </c>
      <c r="B22" s="27">
        <f t="shared" si="0"/>
        <v>43322</v>
      </c>
      <c r="C22" s="8">
        <f>H21-L21-Tabela145[[#This Row],[Coluna19]]</f>
        <v>1910.0996132043122</v>
      </c>
      <c r="D22" s="8">
        <f>Tabela1[[#This Row],[Coluna2]]</f>
        <v>0</v>
      </c>
      <c r="E22" s="19">
        <v>0</v>
      </c>
      <c r="F22" s="8">
        <f>Tabela1[[#This Row],[Coluna32]]</f>
        <v>7.79</v>
      </c>
      <c r="G22" s="91">
        <f t="shared" si="2"/>
        <v>38.725203336098971</v>
      </c>
      <c r="H22" s="8">
        <f>SUM(Tabela145[[#This Row],[Coluna1]:[Coluna4]])</f>
        <v>1956.6148165404111</v>
      </c>
      <c r="I22" s="8">
        <f>Tabela1[[#This Row],[Coluna6]]</f>
        <v>112.32</v>
      </c>
      <c r="J22" s="9">
        <f>Tabela1[[#This Row],[Coluna7]]</f>
        <v>43322</v>
      </c>
      <c r="K22" s="92">
        <f>Tabela1[[#This Row],[Coluna8]]</f>
        <v>0.03</v>
      </c>
      <c r="L22" s="8">
        <f>Tabela1[[#This Row],[Coluna9]]</f>
        <v>112.32</v>
      </c>
      <c r="M22" s="28">
        <f>Tabela1[[#This Row],[Coluna10]]</f>
        <v>43322</v>
      </c>
      <c r="N22" s="1">
        <f>IF(Tabela145[[#This Row],[Coluna12]]&gt;0,M23-Tabela145[[#This Row],[Coluna10]],Tabela145[[#This Row],[Coluna10]]-Tabela145[[#This Row],[Coluna7]])</f>
        <v>31</v>
      </c>
      <c r="O22" s="18">
        <f>Tabela145[[#This Row],[Coluna5]]-Tabela145[[#This Row],[Coluna9]]</f>
        <v>1844.2948165404111</v>
      </c>
      <c r="P22" s="20">
        <f>Tabela145[[#This Row],[Coluna12]]*Tabela145[[#This Row],[Coluna14]]/30*Tabela145[[#This Row],[Coluna11]]</f>
        <v>36.209654898076742</v>
      </c>
      <c r="Q22" s="13">
        <f>VLOOKUP(Tabela145[[#This Row],[Coluna7]],'tx média'!A:B,2,TRUE)%</f>
        <v>1.9E-2</v>
      </c>
      <c r="R22" s="93" t="str">
        <f>IF(Tabela145[[#This Row],[Coluna8]]/Tabela145[[#This Row],[Coluna14]]&gt;1.2,"Abusivo","Normal")</f>
        <v>Abusivo</v>
      </c>
      <c r="S22" s="18">
        <f>Tabela1[[#This Row],[Coluna4]]</f>
        <v>90.72</v>
      </c>
      <c r="T22" s="20">
        <f t="shared" si="1"/>
        <v>38.725203336098971</v>
      </c>
      <c r="U22" s="18">
        <f>Tabela1[[#This Row],[Coluna3]]</f>
        <v>0</v>
      </c>
      <c r="V22" s="108">
        <f>Tabela145[[#This Row],[Coluna16]]-Tabela145[[#This Row],[Coluna17]]+Tabela145[[#This Row],[Coluna18]]</f>
        <v>51.994796663901028</v>
      </c>
      <c r="W22" s="18">
        <f>W21+Tabela145[[#This Row],[Coluna19]]</f>
        <v>534.07759172979388</v>
      </c>
    </row>
    <row r="23" spans="1:23" x14ac:dyDescent="0.25">
      <c r="A23" s="1">
        <v>10</v>
      </c>
      <c r="B23" s="27">
        <f t="shared" si="0"/>
        <v>43353</v>
      </c>
      <c r="C23" s="8">
        <f>H22-L22-Tabela145[[#This Row],[Coluna19]]</f>
        <v>1790.2144714384879</v>
      </c>
      <c r="D23" s="8">
        <f>Tabela1[[#This Row],[Coluna2]]</f>
        <v>0</v>
      </c>
      <c r="E23" s="19">
        <v>0</v>
      </c>
      <c r="F23" s="8">
        <f>Tabela1[[#This Row],[Coluna32]]</f>
        <v>7.77</v>
      </c>
      <c r="G23" s="91">
        <f t="shared" si="2"/>
        <v>36.209654898076742</v>
      </c>
      <c r="H23" s="8">
        <f>SUM(Tabela145[[#This Row],[Coluna1]:[Coluna4]])</f>
        <v>1834.1941263365645</v>
      </c>
      <c r="I23" s="8">
        <f>Tabela1[[#This Row],[Coluna6]]</f>
        <v>112.32</v>
      </c>
      <c r="J23" s="9">
        <f>Tabela1[[#This Row],[Coluna7]]</f>
        <v>43353</v>
      </c>
      <c r="K23" s="92">
        <f>Tabela1[[#This Row],[Coluna8]]</f>
        <v>0.03</v>
      </c>
      <c r="L23" s="8">
        <f>Tabela1[[#This Row],[Coluna9]]</f>
        <v>112.32</v>
      </c>
      <c r="M23" s="28">
        <f>Tabela1[[#This Row],[Coluna10]]</f>
        <v>43353</v>
      </c>
      <c r="N23" s="1">
        <f>IF(Tabela145[[#This Row],[Coluna12]]&gt;0,M24-Tabela145[[#This Row],[Coluna10]],Tabela145[[#This Row],[Coluna10]]-Tabela145[[#This Row],[Coluna7]])</f>
        <v>30</v>
      </c>
      <c r="O23" s="18">
        <f>Tabela145[[#This Row],[Coluna5]]-Tabela145[[#This Row],[Coluna9]]</f>
        <v>1721.8741263365646</v>
      </c>
      <c r="P23" s="20">
        <f>Tabela145[[#This Row],[Coluna12]]*Tabela145[[#This Row],[Coluna14]]/30*Tabela145[[#This Row],[Coluna11]]</f>
        <v>32.543420987761074</v>
      </c>
      <c r="Q23" s="13">
        <f>VLOOKUP(Tabela145[[#This Row],[Coluna7]],'tx média'!A:B,2,TRUE)%</f>
        <v>1.89E-2</v>
      </c>
      <c r="R23" s="93" t="str">
        <f>IF(Tabela145[[#This Row],[Coluna8]]/Tabela145[[#This Row],[Coluna14]]&gt;1.2,"Abusivo","Normal")</f>
        <v>Abusivo</v>
      </c>
      <c r="S23" s="18">
        <f>Tabela1[[#This Row],[Coluna4]]</f>
        <v>90.29</v>
      </c>
      <c r="T23" s="20">
        <f t="shared" si="1"/>
        <v>36.209654898076742</v>
      </c>
      <c r="U23" s="18">
        <f>Tabela1[[#This Row],[Coluna3]]</f>
        <v>0</v>
      </c>
      <c r="V23" s="108">
        <f>Tabela145[[#This Row],[Coluna16]]-Tabela145[[#This Row],[Coluna17]]+Tabela145[[#This Row],[Coluna18]]</f>
        <v>54.080345101923264</v>
      </c>
      <c r="W23" s="18">
        <f>W22+Tabela145[[#This Row],[Coluna19]]</f>
        <v>588.15793683171717</v>
      </c>
    </row>
    <row r="24" spans="1:23" x14ac:dyDescent="0.25">
      <c r="A24" s="1">
        <v>11</v>
      </c>
      <c r="B24" s="27">
        <f t="shared" si="0"/>
        <v>43383</v>
      </c>
      <c r="C24" s="8">
        <f>H23-L23-Tabela145[[#This Row],[Coluna19]]</f>
        <v>1667.4675473243256</v>
      </c>
      <c r="D24" s="8">
        <f>Tabela1[[#This Row],[Coluna2]]</f>
        <v>0</v>
      </c>
      <c r="E24" s="19">
        <v>0</v>
      </c>
      <c r="F24" s="8">
        <f>Tabela1[[#This Row],[Coluna32]]</f>
        <v>7.5</v>
      </c>
      <c r="G24" s="91">
        <f t="shared" si="2"/>
        <v>32.543420987761074</v>
      </c>
      <c r="H24" s="8">
        <f>SUM(Tabela145[[#This Row],[Coluna1]:[Coluna4]])</f>
        <v>1707.5109683120866</v>
      </c>
      <c r="I24" s="8">
        <f>Tabela1[[#This Row],[Coluna6]]</f>
        <v>112.32</v>
      </c>
      <c r="J24" s="9">
        <f>Tabela1[[#This Row],[Coluna7]]</f>
        <v>43383</v>
      </c>
      <c r="K24" s="92">
        <f>Tabela1[[#This Row],[Coluna8]]</f>
        <v>0.03</v>
      </c>
      <c r="L24" s="8">
        <f>Tabela1[[#This Row],[Coluna9]]</f>
        <v>112.32</v>
      </c>
      <c r="M24" s="28">
        <f>Tabela1[[#This Row],[Coluna10]]</f>
        <v>43383</v>
      </c>
      <c r="N24" s="1">
        <f>IF(Tabela145[[#This Row],[Coluna12]]&gt;0,M25-Tabela145[[#This Row],[Coluna10]],Tabela145[[#This Row],[Coluna10]]-Tabela145[[#This Row],[Coluna7]])</f>
        <v>31</v>
      </c>
      <c r="O24" s="18">
        <f>Tabela145[[#This Row],[Coluna5]]-Tabela145[[#This Row],[Coluna9]]</f>
        <v>1595.1909683120866</v>
      </c>
      <c r="P24" s="20">
        <f>Tabela145[[#This Row],[Coluna12]]*Tabela145[[#This Row],[Coluna14]]/30*Tabela145[[#This Row],[Coluna11]]</f>
        <v>30.989243211076133</v>
      </c>
      <c r="Q24" s="13">
        <f>VLOOKUP(Tabela145[[#This Row],[Coluna7]],'tx média'!A:B,2,TRUE)%</f>
        <v>1.8799999999999997E-2</v>
      </c>
      <c r="R24" s="93" t="str">
        <f>IF(Tabela145[[#This Row],[Coluna8]]/Tabela145[[#This Row],[Coluna14]]&gt;1.2,"Abusivo","Normal")</f>
        <v>Abusivo</v>
      </c>
      <c r="S24" s="18">
        <f>Tabela1[[#This Row],[Coluna4]]</f>
        <v>86.95</v>
      </c>
      <c r="T24" s="20">
        <f t="shared" si="1"/>
        <v>32.543420987761074</v>
      </c>
      <c r="U24" s="18">
        <f>Tabela1[[#This Row],[Coluna3]]</f>
        <v>0</v>
      </c>
      <c r="V24" s="108">
        <f>Tabela145[[#This Row],[Coluna16]]-Tabela145[[#This Row],[Coluna17]]+Tabela145[[#This Row],[Coluna18]]</f>
        <v>54.406579012238929</v>
      </c>
      <c r="W24" s="18">
        <f>W23+Tabela145[[#This Row],[Coluna19]]</f>
        <v>642.56451584395609</v>
      </c>
    </row>
    <row r="25" spans="1:23" x14ac:dyDescent="0.25">
      <c r="A25" s="1">
        <v>12</v>
      </c>
      <c r="B25" s="27">
        <f t="shared" si="0"/>
        <v>43414</v>
      </c>
      <c r="C25" s="8">
        <f>H24-L24-Tabela145[[#This Row],[Coluna19]]</f>
        <v>1536.8902115231626</v>
      </c>
      <c r="D25" s="8">
        <f>Tabela1[[#This Row],[Coluna2]]</f>
        <v>0</v>
      </c>
      <c r="E25" s="19">
        <v>0</v>
      </c>
      <c r="F25" s="8">
        <f>Tabela1[[#This Row],[Coluna32]]</f>
        <v>7.68</v>
      </c>
      <c r="G25" s="91">
        <f t="shared" si="2"/>
        <v>30.989243211076133</v>
      </c>
      <c r="H25" s="8">
        <f>SUM(Tabela145[[#This Row],[Coluna1]:[Coluna4]])</f>
        <v>1575.5594547342389</v>
      </c>
      <c r="I25" s="8">
        <f>Tabela1[[#This Row],[Coluna6]]</f>
        <v>112.32</v>
      </c>
      <c r="J25" s="9">
        <f>Tabela1[[#This Row],[Coluna7]]</f>
        <v>43414</v>
      </c>
      <c r="K25" s="92">
        <f>Tabela1[[#This Row],[Coluna8]]</f>
        <v>0.03</v>
      </c>
      <c r="L25" s="8">
        <f>Tabela1[[#This Row],[Coluna9]]</f>
        <v>112.32</v>
      </c>
      <c r="M25" s="28">
        <f>Tabela1[[#This Row],[Coluna10]]</f>
        <v>43414</v>
      </c>
      <c r="N25" s="1">
        <f>IF(Tabela145[[#This Row],[Coluna12]]&gt;0,M26-Tabela145[[#This Row],[Coluna10]],Tabela145[[#This Row],[Coluna10]]-Tabela145[[#This Row],[Coluna7]])</f>
        <v>30</v>
      </c>
      <c r="O25" s="18">
        <f>Tabela145[[#This Row],[Coluna5]]-Tabela145[[#This Row],[Coluna9]]</f>
        <v>1463.239454734239</v>
      </c>
      <c r="P25" s="20">
        <f>Tabela145[[#This Row],[Coluna12]]*Tabela145[[#This Row],[Coluna14]]/30*Tabela145[[#This Row],[Coluna11]]</f>
        <v>27.508901749003687</v>
      </c>
      <c r="Q25" s="13">
        <f>VLOOKUP(Tabela145[[#This Row],[Coluna7]],'tx média'!A:B,2,TRUE)%</f>
        <v>1.8799999999999997E-2</v>
      </c>
      <c r="R25" s="93" t="str">
        <f>IF(Tabela145[[#This Row],[Coluna8]]/Tabela145[[#This Row],[Coluna14]]&gt;1.2,"Abusivo","Normal")</f>
        <v>Abusivo</v>
      </c>
      <c r="S25" s="18">
        <f>Tabela1[[#This Row],[Coluna4]]</f>
        <v>89.29</v>
      </c>
      <c r="T25" s="20">
        <f t="shared" si="1"/>
        <v>30.989243211076133</v>
      </c>
      <c r="U25" s="18">
        <f>Tabela1[[#This Row],[Coluna3]]</f>
        <v>0</v>
      </c>
      <c r="V25" s="108">
        <f>Tabela145[[#This Row],[Coluna16]]-Tabela145[[#This Row],[Coluna17]]+Tabela145[[#This Row],[Coluna18]]</f>
        <v>58.300756788923877</v>
      </c>
      <c r="W25" s="18">
        <f>W24+Tabela145[[#This Row],[Coluna19]]</f>
        <v>700.86527263287996</v>
      </c>
    </row>
    <row r="26" spans="1:23" x14ac:dyDescent="0.25">
      <c r="A26" s="1">
        <v>13</v>
      </c>
      <c r="B26" s="27">
        <f t="shared" si="0"/>
        <v>43444</v>
      </c>
      <c r="C26" s="8">
        <f>H25-L25-Tabela145[[#This Row],[Coluna19]]</f>
        <v>1259.2183564832426</v>
      </c>
      <c r="D26" s="8">
        <f>Tabela1[[#This Row],[Coluna2]]</f>
        <v>0</v>
      </c>
      <c r="E26" s="19">
        <v>0</v>
      </c>
      <c r="F26" s="8">
        <f>Tabela1[[#This Row],[Coluna32]]</f>
        <v>7.42</v>
      </c>
      <c r="G26" s="91">
        <f t="shared" si="2"/>
        <v>27.508901749003687</v>
      </c>
      <c r="H26" s="8">
        <f>SUM(Tabela145[[#This Row],[Coluna1]:[Coluna4]])</f>
        <v>1294.1472582322463</v>
      </c>
      <c r="I26" s="8">
        <f>Tabela1[[#This Row],[Coluna6]]</f>
        <v>112.32</v>
      </c>
      <c r="J26" s="9">
        <f>Tabela1[[#This Row],[Coluna7]]</f>
        <v>43444</v>
      </c>
      <c r="K26" s="92">
        <f>Tabela1[[#This Row],[Coluna8]]</f>
        <v>0.03</v>
      </c>
      <c r="L26" s="8">
        <f>Tabela1[[#This Row],[Coluna9]]</f>
        <v>112.32</v>
      </c>
      <c r="M26" s="28">
        <f>Tabela1[[#This Row],[Coluna10]]</f>
        <v>43444</v>
      </c>
      <c r="N26" s="1">
        <f>IF(Tabela145[[#This Row],[Coluna12]]&gt;0,M27-Tabela145[[#This Row],[Coluna10]],Tabela145[[#This Row],[Coluna10]]-Tabela145[[#This Row],[Coluna7]])</f>
        <v>31</v>
      </c>
      <c r="O26" s="18">
        <f>Tabela145[[#This Row],[Coluna5]]-Tabela145[[#This Row],[Coluna9]]</f>
        <v>1181.8272582322463</v>
      </c>
      <c r="P26" s="20">
        <f>Tabela145[[#This Row],[Coluna12]]*Tabela145[[#This Row],[Coluna14]]/30*Tabela145[[#This Row],[Coluna11]]</f>
        <v>23.203208503293101</v>
      </c>
      <c r="Q26" s="13">
        <f>VLOOKUP(Tabela145[[#This Row],[Coluna7]],'tx média'!A:B,2,TRUE)%</f>
        <v>1.9E-2</v>
      </c>
      <c r="R26" s="93" t="str">
        <f>IF(Tabela145[[#This Row],[Coluna8]]/Tabela145[[#This Row],[Coluna14]]&gt;1.2,"Abusivo","Normal")</f>
        <v>Abusivo</v>
      </c>
      <c r="S26" s="18">
        <f>Tabela1[[#This Row],[Coluna4]]</f>
        <v>85.95</v>
      </c>
      <c r="T26" s="20">
        <f t="shared" si="1"/>
        <v>27.508901749003687</v>
      </c>
      <c r="U26" s="18">
        <f>Tabela1[[#This Row],[Coluna3]]</f>
        <v>145.58000000000001</v>
      </c>
      <c r="V26" s="108">
        <f>Tabela145[[#This Row],[Coluna16]]-Tabela145[[#This Row],[Coluna17]]+Tabela145[[#This Row],[Coluna18]]</f>
        <v>204.02109825099632</v>
      </c>
      <c r="W26" s="18">
        <f>W25+Tabela145[[#This Row],[Coluna19]]</f>
        <v>904.88637088387622</v>
      </c>
    </row>
    <row r="27" spans="1:23" x14ac:dyDescent="0.25">
      <c r="A27" s="1">
        <v>14</v>
      </c>
      <c r="B27" s="27">
        <f t="shared" si="0"/>
        <v>43475</v>
      </c>
      <c r="C27" s="8">
        <f>H26-L26-Tabela145[[#This Row],[Coluna19]]</f>
        <v>1112.2904667355394</v>
      </c>
      <c r="D27" s="8">
        <f>Tabela1[[#This Row],[Coluna2]]</f>
        <v>0</v>
      </c>
      <c r="E27" s="19">
        <v>0</v>
      </c>
      <c r="F27" s="8">
        <f>Tabela1[[#This Row],[Coluna32]]</f>
        <v>7.58</v>
      </c>
      <c r="G27" s="91">
        <f t="shared" si="2"/>
        <v>23.203208503293101</v>
      </c>
      <c r="H27" s="8">
        <f>SUM(Tabela145[[#This Row],[Coluna1]:[Coluna4]])</f>
        <v>1143.0736752388325</v>
      </c>
      <c r="I27" s="8">
        <f>Tabela1[[#This Row],[Coluna6]]</f>
        <v>112.32</v>
      </c>
      <c r="J27" s="9">
        <f>Tabela1[[#This Row],[Coluna7]]</f>
        <v>43475</v>
      </c>
      <c r="K27" s="92">
        <f>Tabela1[[#This Row],[Coluna8]]</f>
        <v>0.03</v>
      </c>
      <c r="L27" s="8">
        <f>Tabela1[[#This Row],[Coluna9]]</f>
        <v>112.32</v>
      </c>
      <c r="M27" s="28">
        <f>Tabela1[[#This Row],[Coluna10]]</f>
        <v>43475</v>
      </c>
      <c r="N27" s="1">
        <f>IF(Tabela145[[#This Row],[Coluna12]]&gt;0,M28-Tabela145[[#This Row],[Coluna10]],Tabela145[[#This Row],[Coluna10]]-Tabela145[[#This Row],[Coluna7]])</f>
        <v>31</v>
      </c>
      <c r="O27" s="18">
        <f>Tabela145[[#This Row],[Coluna5]]-Tabela145[[#This Row],[Coluna9]]</f>
        <v>1030.7536752388326</v>
      </c>
      <c r="P27" s="20">
        <f>Tabela145[[#This Row],[Coluna12]]*Tabela145[[#This Row],[Coluna14]]/30*Tabela145[[#This Row],[Coluna11]]</f>
        <v>20.237130490522411</v>
      </c>
      <c r="Q27" s="13">
        <f>VLOOKUP(Tabela145[[#This Row],[Coluna7]],'tx média'!A:B,2,TRUE)%</f>
        <v>1.9E-2</v>
      </c>
      <c r="R27" s="93" t="str">
        <f>IF(Tabela145[[#This Row],[Coluna8]]/Tabela145[[#This Row],[Coluna14]]&gt;1.2,"Abusivo","Normal")</f>
        <v>Abusivo</v>
      </c>
      <c r="S27" s="18">
        <f>Tabela1[[#This Row],[Coluna4]]</f>
        <v>92.74</v>
      </c>
      <c r="T27" s="20">
        <f t="shared" si="1"/>
        <v>23.203208503293101</v>
      </c>
      <c r="U27" s="18">
        <f>Tabela1[[#This Row],[Coluna3]]</f>
        <v>0</v>
      </c>
      <c r="V27" s="108">
        <f>Tabela145[[#This Row],[Coluna16]]-Tabela145[[#This Row],[Coluna17]]+Tabela145[[#This Row],[Coluna18]]</f>
        <v>69.536791496706897</v>
      </c>
      <c r="W27" s="18">
        <f>W26+Tabela145[[#This Row],[Coluna19]]</f>
        <v>974.42316238058311</v>
      </c>
    </row>
    <row r="28" spans="1:23" x14ac:dyDescent="0.25">
      <c r="A28" s="1">
        <v>15</v>
      </c>
      <c r="B28" s="27">
        <f t="shared" si="0"/>
        <v>43506</v>
      </c>
      <c r="C28" s="8">
        <f>H27-L27-Tabela145[[#This Row],[Coluna19]]</f>
        <v>958.62080572935497</v>
      </c>
      <c r="D28" s="8">
        <f>Tabela1[[#This Row],[Coluna2]]</f>
        <v>0</v>
      </c>
      <c r="E28" s="19">
        <v>0</v>
      </c>
      <c r="F28" s="8">
        <f>Tabela1[[#This Row],[Coluna32]]</f>
        <v>7.85</v>
      </c>
      <c r="G28" s="91">
        <f t="shared" si="2"/>
        <v>20.237130490522411</v>
      </c>
      <c r="H28" s="8">
        <f>SUM(Tabela145[[#This Row],[Coluna1]:[Coluna4]])</f>
        <v>986.70793621987741</v>
      </c>
      <c r="I28" s="8">
        <f>Tabela1[[#This Row],[Coluna6]]</f>
        <v>112.32</v>
      </c>
      <c r="J28" s="9">
        <f>Tabela1[[#This Row],[Coluna7]]</f>
        <v>43506</v>
      </c>
      <c r="K28" s="92">
        <f>Tabela1[[#This Row],[Coluna8]]</f>
        <v>0.03</v>
      </c>
      <c r="L28" s="8">
        <f>Tabela1[[#This Row],[Coluna9]]</f>
        <v>112.32</v>
      </c>
      <c r="M28" s="28">
        <f>Tabela1[[#This Row],[Coluna10]]</f>
        <v>43506</v>
      </c>
      <c r="N28" s="1">
        <f>IF(Tabela145[[#This Row],[Coluna12]]&gt;0,M29-Tabela145[[#This Row],[Coluna10]],Tabela145[[#This Row],[Coluna10]]-Tabela145[[#This Row],[Coluna7]])</f>
        <v>28</v>
      </c>
      <c r="O28" s="18">
        <f>Tabela145[[#This Row],[Coluna5]]-Tabela145[[#This Row],[Coluna9]]</f>
        <v>874.38793621987747</v>
      </c>
      <c r="P28" s="20">
        <f>Tabela145[[#This Row],[Coluna12]]*Tabela145[[#This Row],[Coluna14]]/30*Tabela145[[#This Row],[Coluna11]]</f>
        <v>15.505812735632496</v>
      </c>
      <c r="Q28" s="13">
        <f>VLOOKUP(Tabela145[[#This Row],[Coluna7]],'tx média'!A:B,2,TRUE)%</f>
        <v>1.9E-2</v>
      </c>
      <c r="R28" s="93" t="str">
        <f>IF(Tabela145[[#This Row],[Coluna8]]/Tabela145[[#This Row],[Coluna14]]&gt;1.2,"Abusivo","Normal")</f>
        <v>Abusivo</v>
      </c>
      <c r="S28" s="18">
        <f>Tabela1[[#This Row],[Coluna4]]</f>
        <v>92.37</v>
      </c>
      <c r="T28" s="20">
        <f t="shared" si="1"/>
        <v>20.237130490522411</v>
      </c>
      <c r="U28" s="18">
        <f>Tabela1[[#This Row],[Coluna3]]</f>
        <v>0</v>
      </c>
      <c r="V28" s="108">
        <f>Tabela145[[#This Row],[Coluna16]]-Tabela145[[#This Row],[Coluna17]]+Tabela145[[#This Row],[Coluna18]]</f>
        <v>72.132869509477587</v>
      </c>
      <c r="W28" s="18">
        <f>W27+Tabela145[[#This Row],[Coluna19]]</f>
        <v>1046.5560318900607</v>
      </c>
    </row>
    <row r="29" spans="1:23" x14ac:dyDescent="0.25">
      <c r="A29" s="1">
        <v>16</v>
      </c>
      <c r="B29" s="27">
        <f t="shared" si="0"/>
        <v>43534</v>
      </c>
      <c r="C29" s="8">
        <f>H28-L28-Tabela145[[#This Row],[Coluna19]]</f>
        <v>806.80374895550995</v>
      </c>
      <c r="D29" s="8">
        <f>Tabela1[[#This Row],[Coluna2]]</f>
        <v>0</v>
      </c>
      <c r="E29" s="19">
        <v>0</v>
      </c>
      <c r="F29" s="8">
        <f>Tabela1[[#This Row],[Coluna32]]</f>
        <v>7.2</v>
      </c>
      <c r="G29" s="91">
        <f t="shared" si="2"/>
        <v>15.505812735632496</v>
      </c>
      <c r="H29" s="8">
        <f>SUM(Tabela145[[#This Row],[Coluna1]:[Coluna4]])</f>
        <v>829.50956169114249</v>
      </c>
      <c r="I29" s="8">
        <f>Tabela1[[#This Row],[Coluna6]]</f>
        <v>112.32</v>
      </c>
      <c r="J29" s="9">
        <f>Tabela1[[#This Row],[Coluna7]]</f>
        <v>43534</v>
      </c>
      <c r="K29" s="92">
        <f>Tabela1[[#This Row],[Coluna8]]</f>
        <v>0.03</v>
      </c>
      <c r="L29" s="8">
        <f>Tabela1[[#This Row],[Coluna9]]</f>
        <v>112.32</v>
      </c>
      <c r="M29" s="28">
        <f>Tabela1[[#This Row],[Coluna10]]</f>
        <v>43534</v>
      </c>
      <c r="N29" s="1">
        <f>IF(Tabela145[[#This Row],[Coluna12]]&gt;0,M30-Tabela145[[#This Row],[Coluna10]],Tabela145[[#This Row],[Coluna10]]-Tabela145[[#This Row],[Coluna7]])</f>
        <v>31</v>
      </c>
      <c r="O29" s="18">
        <f>Tabela145[[#This Row],[Coluna5]]-Tabela145[[#This Row],[Coluna9]]</f>
        <v>717.18956169114244</v>
      </c>
      <c r="P29" s="20">
        <f>Tabela145[[#This Row],[Coluna12]]*Tabela145[[#This Row],[Coluna14]]/30*Tabela145[[#This Row],[Coluna11]]</f>
        <v>13.932602551786593</v>
      </c>
      <c r="Q29" s="13">
        <f>VLOOKUP(Tabela145[[#This Row],[Coluna7]],'tx média'!A:B,2,TRUE)%</f>
        <v>1.8799999999999997E-2</v>
      </c>
      <c r="R29" s="93" t="str">
        <f>IF(Tabela145[[#This Row],[Coluna8]]/Tabela145[[#This Row],[Coluna14]]&gt;1.2,"Abusivo","Normal")</f>
        <v>Abusivo</v>
      </c>
      <c r="S29" s="18">
        <f>Tabela1[[#This Row],[Coluna4]]</f>
        <v>83.09</v>
      </c>
      <c r="T29" s="20">
        <f t="shared" si="1"/>
        <v>15.505812735632496</v>
      </c>
      <c r="U29" s="18">
        <f>Tabela1[[#This Row],[Coluna3]]</f>
        <v>0</v>
      </c>
      <c r="V29" s="108">
        <f>Tabela145[[#This Row],[Coluna16]]-Tabela145[[#This Row],[Coluna17]]+Tabela145[[#This Row],[Coluna18]]</f>
        <v>67.5841872643675</v>
      </c>
      <c r="W29" s="18">
        <f>W28+Tabela145[[#This Row],[Coluna19]]</f>
        <v>1114.1402191544282</v>
      </c>
    </row>
    <row r="30" spans="1:23" x14ac:dyDescent="0.25">
      <c r="A30" s="1">
        <v>17</v>
      </c>
      <c r="B30" s="27">
        <f t="shared" si="0"/>
        <v>43565</v>
      </c>
      <c r="C30" s="8">
        <f>H29-L29-Tabela145[[#This Row],[Coluna19]]</f>
        <v>639.46216424292902</v>
      </c>
      <c r="D30" s="8">
        <f>Tabela1[[#This Row],[Coluna2]]</f>
        <v>0</v>
      </c>
      <c r="E30" s="19">
        <v>0</v>
      </c>
      <c r="F30" s="8">
        <f>Tabela1[[#This Row],[Coluna32]]</f>
        <v>7.49</v>
      </c>
      <c r="G30" s="91">
        <f t="shared" si="2"/>
        <v>13.932602551786593</v>
      </c>
      <c r="H30" s="8">
        <f>SUM(Tabela145[[#This Row],[Coluna1]:[Coluna4]])</f>
        <v>660.88476679471557</v>
      </c>
      <c r="I30" s="8">
        <f>Tabela1[[#This Row],[Coluna6]]</f>
        <v>112.32</v>
      </c>
      <c r="J30" s="9">
        <f>Tabela1[[#This Row],[Coluna7]]</f>
        <v>43565</v>
      </c>
      <c r="K30" s="92">
        <f>Tabela1[[#This Row],[Coluna8]]</f>
        <v>0.03</v>
      </c>
      <c r="L30" s="8">
        <f>Tabela1[[#This Row],[Coluna9]]</f>
        <v>112.32</v>
      </c>
      <c r="M30" s="28">
        <f>Tabela1[[#This Row],[Coluna10]]</f>
        <v>43565</v>
      </c>
      <c r="N30" s="1">
        <f>IF(Tabela145[[#This Row],[Coluna12]]&gt;0,M31-Tabela145[[#This Row],[Coluna10]],Tabela145[[#This Row],[Coluna10]]-Tabela145[[#This Row],[Coluna7]])</f>
        <v>30</v>
      </c>
      <c r="O30" s="18">
        <f>Tabela145[[#This Row],[Coluna5]]-Tabela145[[#This Row],[Coluna9]]</f>
        <v>548.56476679471552</v>
      </c>
      <c r="P30" s="20">
        <f>Tabela145[[#This Row],[Coluna12]]*Tabela145[[#This Row],[Coluna14]]/30*Tabela145[[#This Row],[Coluna11]]</f>
        <v>10.148448185702238</v>
      </c>
      <c r="Q30" s="13">
        <f>VLOOKUP(Tabela145[[#This Row],[Coluna7]],'tx média'!A:B,2,TRUE)%</f>
        <v>1.8500000000000003E-2</v>
      </c>
      <c r="R30" s="93" t="str">
        <f>IF(Tabela145[[#This Row],[Coluna8]]/Tabela145[[#This Row],[Coluna14]]&gt;1.2,"Abusivo","Normal")</f>
        <v>Abusivo</v>
      </c>
      <c r="S30" s="18">
        <f>Tabela1[[#This Row],[Coluna4]]</f>
        <v>91.66</v>
      </c>
      <c r="T30" s="20">
        <f t="shared" si="1"/>
        <v>13.932602551786593</v>
      </c>
      <c r="U30" s="18">
        <f>Tabela1[[#This Row],[Coluna3]]</f>
        <v>0</v>
      </c>
      <c r="V30" s="108">
        <f>Tabela145[[#This Row],[Coluna16]]-Tabela145[[#This Row],[Coluna17]]+Tabela145[[#This Row],[Coluna18]]</f>
        <v>77.727397448213409</v>
      </c>
      <c r="W30" s="18">
        <f>W29+Tabela145[[#This Row],[Coluna19]]</f>
        <v>1191.8676166026416</v>
      </c>
    </row>
    <row r="31" spans="1:23" x14ac:dyDescent="0.25">
      <c r="A31" s="1">
        <v>18</v>
      </c>
      <c r="B31" s="27">
        <f t="shared" si="0"/>
        <v>43595</v>
      </c>
      <c r="C31" s="8">
        <f>H30-L30-Tabela145[[#This Row],[Coluna19]]</f>
        <v>470.74321498041775</v>
      </c>
      <c r="D31" s="8">
        <f>Tabela1[[#This Row],[Coluna2]]</f>
        <v>0</v>
      </c>
      <c r="E31" s="19">
        <v>0</v>
      </c>
      <c r="F31" s="8">
        <f>Tabela1[[#This Row],[Coluna32]]</f>
        <v>7.6</v>
      </c>
      <c r="G31" s="91">
        <f t="shared" si="2"/>
        <v>10.148448185702238</v>
      </c>
      <c r="H31" s="8">
        <f>SUM(Tabela145[[#This Row],[Coluna1]:[Coluna4]])</f>
        <v>488.49166316612002</v>
      </c>
      <c r="I31" s="8">
        <f>Tabela1[[#This Row],[Coluna6]]</f>
        <v>112.32</v>
      </c>
      <c r="J31" s="9">
        <f>Tabela1[[#This Row],[Coluna7]]</f>
        <v>43595</v>
      </c>
      <c r="K31" s="92">
        <f>Tabela1[[#This Row],[Coluna8]]</f>
        <v>0.03</v>
      </c>
      <c r="L31" s="8">
        <f>Tabela1[[#This Row],[Coluna9]]</f>
        <v>112.32</v>
      </c>
      <c r="M31" s="28">
        <f>Tabela1[[#This Row],[Coluna10]]</f>
        <v>43595</v>
      </c>
      <c r="N31" s="1">
        <f>IF(Tabela145[[#This Row],[Coluna12]]&gt;0,M32-Tabela145[[#This Row],[Coluna10]],Tabela145[[#This Row],[Coluna10]]-Tabela145[[#This Row],[Coluna7]])</f>
        <v>31</v>
      </c>
      <c r="O31" s="18">
        <f>Tabela145[[#This Row],[Coluna5]]-Tabela145[[#This Row],[Coluna9]]</f>
        <v>376.17166316612003</v>
      </c>
      <c r="P31" s="20">
        <f>Tabela145[[#This Row],[Coluna12]]*Tabela145[[#This Row],[Coluna14]]/30*Tabela145[[#This Row],[Coluna11]]</f>
        <v>7.1522772223318292</v>
      </c>
      <c r="Q31" s="13">
        <f>VLOOKUP(Tabela145[[#This Row],[Coluna7]],'tx média'!A:B,2,TRUE)%</f>
        <v>1.84E-2</v>
      </c>
      <c r="R31" s="93" t="str">
        <f>IF(Tabela145[[#This Row],[Coluna8]]/Tabela145[[#This Row],[Coluna14]]&gt;1.2,"Abusivo","Normal")</f>
        <v>Abusivo</v>
      </c>
      <c r="S31" s="18">
        <f>Tabela1[[#This Row],[Coluna4]]</f>
        <v>87.97</v>
      </c>
      <c r="T31" s="20">
        <f t="shared" si="1"/>
        <v>10.148448185702238</v>
      </c>
      <c r="U31" s="18">
        <f>Tabela1[[#This Row],[Coluna3]]</f>
        <v>0</v>
      </c>
      <c r="V31" s="108">
        <f>Tabela145[[#This Row],[Coluna16]]-Tabela145[[#This Row],[Coluna17]]+Tabela145[[#This Row],[Coluna18]]</f>
        <v>77.821551814297763</v>
      </c>
      <c r="W31" s="18">
        <f>W30+Tabela145[[#This Row],[Coluna19]]</f>
        <v>1269.6891684169393</v>
      </c>
    </row>
    <row r="32" spans="1:23" x14ac:dyDescent="0.25">
      <c r="A32" s="1">
        <v>19</v>
      </c>
      <c r="B32" s="27">
        <f t="shared" si="0"/>
        <v>43626</v>
      </c>
      <c r="C32" s="8">
        <f>H31-L31-Tabela145[[#This Row],[Coluna19]]</f>
        <v>292.94394038845189</v>
      </c>
      <c r="D32" s="8">
        <f>Tabela1[[#This Row],[Coluna2]]</f>
        <v>0</v>
      </c>
      <c r="E32" s="19">
        <v>0</v>
      </c>
      <c r="F32" s="8">
        <f>Tabela1[[#This Row],[Coluna32]]</f>
        <v>7.77</v>
      </c>
      <c r="G32" s="91">
        <f t="shared" si="2"/>
        <v>7.1522772223318292</v>
      </c>
      <c r="H32" s="8">
        <f>SUM(Tabela145[[#This Row],[Coluna1]:[Coluna4]])</f>
        <v>307.86621761078368</v>
      </c>
      <c r="I32" s="8">
        <f>Tabela1[[#This Row],[Coluna6]]</f>
        <v>112.32</v>
      </c>
      <c r="J32" s="9">
        <f>Tabela1[[#This Row],[Coluna7]]</f>
        <v>43626</v>
      </c>
      <c r="K32" s="92">
        <f>Tabela1[[#This Row],[Coluna8]]</f>
        <v>0.03</v>
      </c>
      <c r="L32" s="8">
        <f>Tabela1[[#This Row],[Coluna9]]</f>
        <v>112.32</v>
      </c>
      <c r="M32" s="28">
        <f>Tabela1[[#This Row],[Coluna10]]</f>
        <v>43626</v>
      </c>
      <c r="N32" s="1">
        <f>IF(Tabela145[[#This Row],[Coluna12]]&gt;0,M33-Tabela145[[#This Row],[Coluna10]],Tabela145[[#This Row],[Coluna10]]-Tabela145[[#This Row],[Coluna7]])</f>
        <v>30</v>
      </c>
      <c r="O32" s="18">
        <f>Tabela145[[#This Row],[Coluna5]]-Tabela145[[#This Row],[Coluna9]]</f>
        <v>195.54621761078369</v>
      </c>
      <c r="P32" s="20">
        <f>Tabela145[[#This Row],[Coluna12]]*Tabela145[[#This Row],[Coluna14]]/30*Tabela145[[#This Row],[Coluna11]]</f>
        <v>3.5393865387551848</v>
      </c>
      <c r="Q32" s="13">
        <f>VLOOKUP(Tabela145[[#This Row],[Coluna7]],'tx média'!A:B,2,TRUE)%</f>
        <v>1.8100000000000002E-2</v>
      </c>
      <c r="R32" s="93" t="str">
        <f>IF(Tabela145[[#This Row],[Coluna8]]/Tabela145[[#This Row],[Coluna14]]&gt;1.2,"Abusivo","Normal")</f>
        <v>Abusivo</v>
      </c>
      <c r="S32" s="18">
        <f>Tabela1[[#This Row],[Coluna4]]</f>
        <v>90.38</v>
      </c>
      <c r="T32" s="20">
        <f t="shared" si="1"/>
        <v>7.1522772223318292</v>
      </c>
      <c r="U32" s="18">
        <f>Tabela1[[#This Row],[Coluna3]]</f>
        <v>0</v>
      </c>
      <c r="V32" s="108">
        <f>Tabela145[[#This Row],[Coluna16]]-Tabela145[[#This Row],[Coluna17]]+Tabela145[[#This Row],[Coluna18]]</f>
        <v>83.227722777668163</v>
      </c>
      <c r="W32" s="18">
        <f>W31+Tabela145[[#This Row],[Coluna19]]</f>
        <v>1352.9168911946074</v>
      </c>
    </row>
    <row r="33" spans="1:23" x14ac:dyDescent="0.25">
      <c r="A33" s="1">
        <v>20</v>
      </c>
      <c r="B33" s="27">
        <f t="shared" si="0"/>
        <v>43656</v>
      </c>
      <c r="C33" s="8">
        <f>H32-L32-Tabela145[[#This Row],[Coluna19]]</f>
        <v>112.04560414953886</v>
      </c>
      <c r="D33" s="8">
        <f>Tabela1[[#This Row],[Coluna2]]</f>
        <v>0</v>
      </c>
      <c r="E33" s="19">
        <v>0</v>
      </c>
      <c r="F33" s="8">
        <f>Tabela1[[#This Row],[Coluna32]]</f>
        <v>7.51</v>
      </c>
      <c r="G33" s="91">
        <f t="shared" si="2"/>
        <v>3.5393865387551848</v>
      </c>
      <c r="H33" s="8">
        <f>SUM(Tabela145[[#This Row],[Coluna1]:[Coluna4]])</f>
        <v>123.09499068829405</v>
      </c>
      <c r="I33" s="8">
        <f>Tabela1[[#This Row],[Coluna6]]</f>
        <v>112.32</v>
      </c>
      <c r="J33" s="9">
        <f>Tabela1[[#This Row],[Coluna7]]</f>
        <v>43656</v>
      </c>
      <c r="K33" s="92">
        <f>Tabela1[[#This Row],[Coluna8]]</f>
        <v>0.03</v>
      </c>
      <c r="L33" s="8">
        <f>Tabela1[[#This Row],[Coluna9]]</f>
        <v>112.32</v>
      </c>
      <c r="M33" s="28">
        <f>Tabela1[[#This Row],[Coluna10]]</f>
        <v>43656</v>
      </c>
      <c r="N33" s="1">
        <f>IF(Tabela145[[#This Row],[Coluna12]]&gt;0,M34-Tabela145[[#This Row],[Coluna10]],Tabela145[[#This Row],[Coluna10]]-Tabela145[[#This Row],[Coluna7]])</f>
        <v>31</v>
      </c>
      <c r="O33" s="18">
        <f>Tabela145[[#This Row],[Coluna5]]-Tabela145[[#This Row],[Coluna9]]</f>
        <v>10.774990688294054</v>
      </c>
      <c r="P33" s="20">
        <f>Tabela145[[#This Row],[Coluna12]]*Tabela145[[#This Row],[Coluna14]]/30*Tabela145[[#This Row],[Coluna11]]</f>
        <v>0.20041482680226941</v>
      </c>
      <c r="Q33" s="13">
        <f>VLOOKUP(Tabela145[[#This Row],[Coluna7]],'tx média'!A:B,2,TRUE)%</f>
        <v>1.8000000000000002E-2</v>
      </c>
      <c r="R33" s="93" t="str">
        <f>IF(Tabela145[[#This Row],[Coluna8]]/Tabela145[[#This Row],[Coluna14]]&gt;1.2,"Abusivo","Normal")</f>
        <v>Abusivo</v>
      </c>
      <c r="S33" s="18">
        <f>Tabela1[[#This Row],[Coluna4]]</f>
        <v>87.04</v>
      </c>
      <c r="T33" s="20">
        <f t="shared" si="1"/>
        <v>3.5393865387551848</v>
      </c>
      <c r="U33" s="18">
        <f>Tabela1[[#This Row],[Coluna3]]</f>
        <v>0</v>
      </c>
      <c r="V33" s="108">
        <f>Tabela145[[#This Row],[Coluna16]]-Tabela145[[#This Row],[Coluna17]]+Tabela145[[#This Row],[Coluna18]]</f>
        <v>83.500613461244825</v>
      </c>
      <c r="W33" s="18">
        <f>W32+Tabela145[[#This Row],[Coluna19]]</f>
        <v>1436.4175046558521</v>
      </c>
    </row>
    <row r="34" spans="1:23" x14ac:dyDescent="0.25">
      <c r="A34" s="1">
        <v>21</v>
      </c>
      <c r="B34" s="27">
        <f t="shared" si="0"/>
        <v>43687</v>
      </c>
      <c r="C34" s="8">
        <f>H33-L33-Tabela145[[#This Row],[Coluna19]]</f>
        <v>-78.414594484903674</v>
      </c>
      <c r="D34" s="8">
        <f>Tabela1[[#This Row],[Coluna2]]</f>
        <v>0</v>
      </c>
      <c r="E34" s="19">
        <v>0</v>
      </c>
      <c r="F34" s="8">
        <f>Tabela1[[#This Row],[Coluna32]]</f>
        <v>7.69</v>
      </c>
      <c r="G34" s="91">
        <f t="shared" si="2"/>
        <v>0.20041482680226941</v>
      </c>
      <c r="H34" s="8">
        <f>SUM(Tabela145[[#This Row],[Coluna1]:[Coluna4]])</f>
        <v>-70.524179658101403</v>
      </c>
      <c r="I34" s="8">
        <f>Tabela1[[#This Row],[Coluna6]]</f>
        <v>112.32</v>
      </c>
      <c r="J34" s="9">
        <f>Tabela1[[#This Row],[Coluna7]]</f>
        <v>43687</v>
      </c>
      <c r="K34" s="92">
        <f>Tabela1[[#This Row],[Coluna8]]</f>
        <v>0.03</v>
      </c>
      <c r="L34" s="8">
        <f>Tabela1[[#This Row],[Coluna9]]</f>
        <v>112.32</v>
      </c>
      <c r="M34" s="28">
        <f>Tabela1[[#This Row],[Coluna10]]</f>
        <v>43687</v>
      </c>
      <c r="N34" s="1">
        <f>IF(Tabela145[[#This Row],[Coluna12]]&gt;0,M35-Tabela145[[#This Row],[Coluna10]],Tabela145[[#This Row],[Coluna10]]-Tabela145[[#This Row],[Coluna7]])</f>
        <v>0</v>
      </c>
      <c r="O34" s="18">
        <f>Tabela145[[#This Row],[Coluna5]]-Tabela145[[#This Row],[Coluna9]]</f>
        <v>-182.84417965810138</v>
      </c>
      <c r="P34" s="20">
        <f>Tabela145[[#This Row],[Coluna12]]*Tabela145[[#This Row],[Coluna14]]/30*Tabela145[[#This Row],[Coluna11]]</f>
        <v>0</v>
      </c>
      <c r="Q34" s="13">
        <f>VLOOKUP(Tabela145[[#This Row],[Coluna7]],'tx média'!A:B,2,TRUE)%</f>
        <v>1.78E-2</v>
      </c>
      <c r="R34" s="93" t="str">
        <f>IF(Tabela145[[#This Row],[Coluna8]]/Tabela145[[#This Row],[Coluna14]]&gt;1.2,"Abusivo","Normal")</f>
        <v>Abusivo</v>
      </c>
      <c r="S34" s="18">
        <f>Tabela1[[#This Row],[Coluna4]]</f>
        <v>89.39</v>
      </c>
      <c r="T34" s="20">
        <f t="shared" si="1"/>
        <v>0.20041482680226941</v>
      </c>
      <c r="U34" s="18">
        <f>Tabela1[[#This Row],[Coluna3]]</f>
        <v>0</v>
      </c>
      <c r="V34" s="108">
        <f>Tabela145[[#This Row],[Coluna16]]-Tabela145[[#This Row],[Coluna17]]+Tabela145[[#This Row],[Coluna18]]</f>
        <v>89.189585173197727</v>
      </c>
      <c r="W34" s="18">
        <f>W33+Tabela145[[#This Row],[Coluna19]]</f>
        <v>1525.6070898290498</v>
      </c>
    </row>
    <row r="35" spans="1:23" x14ac:dyDescent="0.25">
      <c r="A35" s="1">
        <v>22</v>
      </c>
      <c r="B35" s="27">
        <f t="shared" si="0"/>
        <v>43718</v>
      </c>
      <c r="C35" s="8">
        <f>H34-L34-Tabela145[[#This Row],[Coluna19]]</f>
        <v>-271.7641796581014</v>
      </c>
      <c r="D35" s="8">
        <f>Tabela1[[#This Row],[Coluna2]]</f>
        <v>0</v>
      </c>
      <c r="E35" s="19">
        <v>0</v>
      </c>
      <c r="F35" s="8">
        <f>Tabela1[[#This Row],[Coluna32]]</f>
        <v>7.66</v>
      </c>
      <c r="G35" s="91">
        <f t="shared" si="2"/>
        <v>0</v>
      </c>
      <c r="H35" s="8">
        <f>SUM(Tabela145[[#This Row],[Coluna1]:[Coluna4]])</f>
        <v>-264.10417965810137</v>
      </c>
      <c r="I35" s="8">
        <f>Tabela1[[#This Row],[Coluna6]]</f>
        <v>112.32</v>
      </c>
      <c r="J35" s="9">
        <f>Tabela1[[#This Row],[Coluna7]]</f>
        <v>43718</v>
      </c>
      <c r="K35" s="92">
        <f>Tabela1[[#This Row],[Coluna8]]</f>
        <v>0.03</v>
      </c>
      <c r="L35" s="8">
        <f>Tabela1[[#This Row],[Coluna9]]</f>
        <v>112.32</v>
      </c>
      <c r="M35" s="28">
        <f>Tabela1[[#This Row],[Coluna10]]</f>
        <v>43718</v>
      </c>
      <c r="N35" s="1">
        <f>IF(Tabela145[[#This Row],[Coluna12]]&gt;0,M36-Tabela145[[#This Row],[Coluna10]],Tabela145[[#This Row],[Coluna10]]-Tabela145[[#This Row],[Coluna7]])</f>
        <v>0</v>
      </c>
      <c r="O35" s="18">
        <f>Tabela145[[#This Row],[Coluna5]]-Tabela145[[#This Row],[Coluna9]]</f>
        <v>-376.42417965810137</v>
      </c>
      <c r="P35" s="20">
        <f>Tabela145[[#This Row],[Coluna12]]*Tabela145[[#This Row],[Coluna14]]/30*Tabela145[[#This Row],[Coluna11]]</f>
        <v>0</v>
      </c>
      <c r="Q35" s="13">
        <f>VLOOKUP(Tabela145[[#This Row],[Coluna7]],'tx média'!A:B,2,TRUE)%</f>
        <v>1.7600000000000001E-2</v>
      </c>
      <c r="R35" s="93" t="str">
        <f>IF(Tabela145[[#This Row],[Coluna8]]/Tabela145[[#This Row],[Coluna14]]&gt;1.2,"Abusivo","Normal")</f>
        <v>Abusivo</v>
      </c>
      <c r="S35" s="18">
        <f>Tabela1[[#This Row],[Coluna4]]</f>
        <v>88.92</v>
      </c>
      <c r="T35" s="20">
        <f t="shared" si="1"/>
        <v>0</v>
      </c>
      <c r="U35" s="18">
        <f>Tabela1[[#This Row],[Coluna3]]</f>
        <v>0</v>
      </c>
      <c r="V35" s="108">
        <f>Tabela145[[#This Row],[Coluna16]]-Tabela145[[#This Row],[Coluna17]]+Tabela145[[#This Row],[Coluna18]]</f>
        <v>88.92</v>
      </c>
      <c r="W35" s="18">
        <f>W34+Tabela145[[#This Row],[Coluna19]]</f>
        <v>1614.5270898290498</v>
      </c>
    </row>
    <row r="36" spans="1:23" x14ac:dyDescent="0.25">
      <c r="A36" s="1">
        <v>23</v>
      </c>
      <c r="B36" s="27">
        <f t="shared" si="0"/>
        <v>43748</v>
      </c>
      <c r="C36" s="8">
        <f>H35-L35-Tabela145[[#This Row],[Coluna19]]</f>
        <v>-462.00417965810135</v>
      </c>
      <c r="D36" s="8">
        <f>Tabela1[[#This Row],[Coluna2]]</f>
        <v>0</v>
      </c>
      <c r="E36" s="19">
        <v>0</v>
      </c>
      <c r="F36" s="8">
        <f>Tabela1[[#This Row],[Coluna32]]</f>
        <v>7.39</v>
      </c>
      <c r="G36" s="91">
        <f t="shared" si="2"/>
        <v>0</v>
      </c>
      <c r="H36" s="8">
        <f>SUM(Tabela145[[#This Row],[Coluna1]:[Coluna4]])</f>
        <v>-454.61417965810136</v>
      </c>
      <c r="I36" s="8">
        <f>Tabela1[[#This Row],[Coluna6]]</f>
        <v>112.32</v>
      </c>
      <c r="J36" s="9">
        <f>Tabela1[[#This Row],[Coluna7]]</f>
        <v>43748</v>
      </c>
      <c r="K36" s="92">
        <f>Tabela1[[#This Row],[Coluna8]]</f>
        <v>0.03</v>
      </c>
      <c r="L36" s="8">
        <f>Tabela1[[#This Row],[Coluna9]]</f>
        <v>112.32</v>
      </c>
      <c r="M36" s="28">
        <f>Tabela1[[#This Row],[Coluna10]]</f>
        <v>43748</v>
      </c>
      <c r="N36" s="1">
        <f>IF(Tabela145[[#This Row],[Coluna12]]&gt;0,M37-Tabela145[[#This Row],[Coluna10]],Tabela145[[#This Row],[Coluna10]]-Tabela145[[#This Row],[Coluna7]])</f>
        <v>0</v>
      </c>
      <c r="O36" s="18">
        <f>Tabela145[[#This Row],[Coluna5]]-Tabela145[[#This Row],[Coluna9]]</f>
        <v>-566.93417965810136</v>
      </c>
      <c r="P36" s="20">
        <f>Tabela145[[#This Row],[Coluna12]]*Tabela145[[#This Row],[Coluna14]]/30*Tabela145[[#This Row],[Coluna11]]</f>
        <v>0</v>
      </c>
      <c r="Q36" s="13">
        <f>VLOOKUP(Tabela145[[#This Row],[Coluna7]],'tx média'!A:B,2,TRUE)%</f>
        <v>1.7299999999999999E-2</v>
      </c>
      <c r="R36" s="93" t="str">
        <f>IF(Tabela145[[#This Row],[Coluna8]]/Tabela145[[#This Row],[Coluna14]]&gt;1.2,"Abusivo","Normal")</f>
        <v>Abusivo</v>
      </c>
      <c r="S36" s="18">
        <f>Tabela1[[#This Row],[Coluna4]]</f>
        <v>85.58</v>
      </c>
      <c r="T36" s="20">
        <f t="shared" si="1"/>
        <v>0</v>
      </c>
      <c r="U36" s="18">
        <f>Tabela1[[#This Row],[Coluna3]]</f>
        <v>0</v>
      </c>
      <c r="V36" s="108">
        <f>Tabela145[[#This Row],[Coluna16]]-Tabela145[[#This Row],[Coluna17]]+Tabela145[[#This Row],[Coluna18]]</f>
        <v>85.58</v>
      </c>
      <c r="W36" s="18">
        <f>W35+Tabela145[[#This Row],[Coluna19]]</f>
        <v>1700.1070898290498</v>
      </c>
    </row>
    <row r="37" spans="1:23" x14ac:dyDescent="0.25">
      <c r="A37" s="1">
        <v>24</v>
      </c>
      <c r="B37" s="27">
        <f t="shared" si="0"/>
        <v>43779</v>
      </c>
      <c r="C37" s="8">
        <f>H36-L36-Tabela145[[#This Row],[Coluna19]]</f>
        <v>-654.7641796581014</v>
      </c>
      <c r="D37" s="8">
        <f>Tabela1[[#This Row],[Coluna2]]</f>
        <v>0</v>
      </c>
      <c r="E37" s="19">
        <v>0</v>
      </c>
      <c r="F37" s="8">
        <f>Tabela1[[#This Row],[Coluna32]]</f>
        <v>7.55</v>
      </c>
      <c r="G37" s="91">
        <f t="shared" si="2"/>
        <v>0</v>
      </c>
      <c r="H37" s="8">
        <f>SUM(Tabela145[[#This Row],[Coluna1]:[Coluna4]])</f>
        <v>-647.21417965810144</v>
      </c>
      <c r="I37" s="8">
        <f>Tabela1[[#This Row],[Coluna6]]</f>
        <v>112.32</v>
      </c>
      <c r="J37" s="9">
        <f>Tabela1[[#This Row],[Coluna7]]</f>
        <v>43779</v>
      </c>
      <c r="K37" s="92">
        <f>Tabela1[[#This Row],[Coluna8]]</f>
        <v>0.03</v>
      </c>
      <c r="L37" s="8">
        <f>Tabela1[[#This Row],[Coluna9]]</f>
        <v>112.32</v>
      </c>
      <c r="M37" s="28">
        <f>Tabela1[[#This Row],[Coluna10]]</f>
        <v>43779</v>
      </c>
      <c r="N37" s="1">
        <f>IF(Tabela145[[#This Row],[Coluna12]]&gt;0,M38-Tabela145[[#This Row],[Coluna10]],Tabela145[[#This Row],[Coluna10]]-Tabela145[[#This Row],[Coluna7]])</f>
        <v>0</v>
      </c>
      <c r="O37" s="18">
        <f>Tabela145[[#This Row],[Coluna5]]-Tabela145[[#This Row],[Coluna9]]</f>
        <v>-759.53417965810149</v>
      </c>
      <c r="P37" s="20">
        <f>Tabela145[[#This Row],[Coluna12]]*Tabela145[[#This Row],[Coluna14]]/30*Tabela145[[#This Row],[Coluna11]]</f>
        <v>0</v>
      </c>
      <c r="Q37" s="13">
        <f>VLOOKUP(Tabela145[[#This Row],[Coluna7]],'tx média'!A:B,2,TRUE)%</f>
        <v>1.72E-2</v>
      </c>
      <c r="R37" s="93" t="str">
        <f>IF(Tabela145[[#This Row],[Coluna8]]/Tabela145[[#This Row],[Coluna14]]&gt;1.2,"Abusivo","Normal")</f>
        <v>Abusivo</v>
      </c>
      <c r="S37" s="18">
        <f>Tabela1[[#This Row],[Coluna4]]</f>
        <v>87.83</v>
      </c>
      <c r="T37" s="20">
        <f t="shared" si="1"/>
        <v>0</v>
      </c>
      <c r="U37" s="18">
        <f>Tabela1[[#This Row],[Coluna3]]</f>
        <v>0</v>
      </c>
      <c r="V37" s="108">
        <f>Tabela145[[#This Row],[Coluna16]]-Tabela145[[#This Row],[Coluna17]]+Tabela145[[#This Row],[Coluna18]]</f>
        <v>87.83</v>
      </c>
      <c r="W37" s="18">
        <f>W36+Tabela145[[#This Row],[Coluna19]]</f>
        <v>1787.9370898290497</v>
      </c>
    </row>
    <row r="38" spans="1:23" x14ac:dyDescent="0.25">
      <c r="A38" s="1">
        <v>25</v>
      </c>
      <c r="B38" s="27">
        <f t="shared" si="0"/>
        <v>43809</v>
      </c>
      <c r="C38" s="8">
        <f>H37-L37-Tabela145[[#This Row],[Coluna19]]</f>
        <v>-1004.2041796581016</v>
      </c>
      <c r="D38" s="8">
        <f>Tabela1[[#This Row],[Coluna2]]</f>
        <v>0</v>
      </c>
      <c r="E38" s="19">
        <v>0</v>
      </c>
      <c r="F38" s="8">
        <f>Tabela1[[#This Row],[Coluna32]]</f>
        <v>7.29</v>
      </c>
      <c r="G38" s="91">
        <f t="shared" si="2"/>
        <v>0</v>
      </c>
      <c r="H38" s="8">
        <f>SUM(Tabela145[[#This Row],[Coluna1]:[Coluna4]])</f>
        <v>-996.9141796581016</v>
      </c>
      <c r="I38" s="8">
        <f>Tabela1[[#This Row],[Coluna6]]</f>
        <v>112.32</v>
      </c>
      <c r="J38" s="9">
        <f>Tabela1[[#This Row],[Coluna7]]</f>
        <v>43809</v>
      </c>
      <c r="K38" s="92">
        <f>Tabela1[[#This Row],[Coluna8]]</f>
        <v>0.03</v>
      </c>
      <c r="L38" s="8">
        <f>Tabela1[[#This Row],[Coluna9]]</f>
        <v>112.32</v>
      </c>
      <c r="M38" s="28">
        <f>Tabela1[[#This Row],[Coluna10]]</f>
        <v>43809</v>
      </c>
      <c r="N38" s="1">
        <f>IF(Tabela145[[#This Row],[Coluna12]]&gt;0,M39-Tabela145[[#This Row],[Coluna10]],Tabela145[[#This Row],[Coluna10]]-Tabela145[[#This Row],[Coluna7]])</f>
        <v>0</v>
      </c>
      <c r="O38" s="18">
        <f>Tabela145[[#This Row],[Coluna5]]-Tabela145[[#This Row],[Coluna9]]</f>
        <v>-1109.2341796581015</v>
      </c>
      <c r="P38" s="20">
        <f>Tabela145[[#This Row],[Coluna12]]*Tabela145[[#This Row],[Coluna14]]/30*Tabela145[[#This Row],[Coluna11]]</f>
        <v>0</v>
      </c>
      <c r="Q38" s="13">
        <f>VLOOKUP(Tabela145[[#This Row],[Coluna7]],'tx média'!A:B,2,TRUE)%</f>
        <v>1.6899999999999998E-2</v>
      </c>
      <c r="R38" s="93" t="str">
        <f>IF(Tabela145[[#This Row],[Coluna8]]/Tabela145[[#This Row],[Coluna14]]&gt;1.2,"Abusivo","Normal")</f>
        <v>Abusivo</v>
      </c>
      <c r="S38" s="18">
        <f>Tabela1[[#This Row],[Coluna4]]</f>
        <v>84.49</v>
      </c>
      <c r="T38" s="20">
        <f t="shared" si="1"/>
        <v>0</v>
      </c>
      <c r="U38" s="18">
        <f>Tabela1[[#This Row],[Coluna3]]</f>
        <v>160.18</v>
      </c>
      <c r="V38" s="108">
        <f>Tabela145[[#This Row],[Coluna16]]-Tabela145[[#This Row],[Coluna17]]+Tabela145[[#This Row],[Coluna18]]</f>
        <v>244.67000000000002</v>
      </c>
      <c r="W38" s="18">
        <f>W37+Tabela145[[#This Row],[Coluna19]]</f>
        <v>2032.6070898290498</v>
      </c>
    </row>
    <row r="39" spans="1:23" x14ac:dyDescent="0.25">
      <c r="A39" s="1">
        <v>26</v>
      </c>
      <c r="B39" s="27">
        <f t="shared" si="0"/>
        <v>43840</v>
      </c>
      <c r="C39" s="8">
        <f>H38-L38-Tabela145[[#This Row],[Coluna19]]</f>
        <v>-1200.8741796581016</v>
      </c>
      <c r="D39" s="8">
        <f>Tabela1[[#This Row],[Coluna2]]</f>
        <v>0</v>
      </c>
      <c r="E39" s="19">
        <v>0</v>
      </c>
      <c r="F39" s="8">
        <f>Tabela1[[#This Row],[Coluna32]]</f>
        <v>8.48</v>
      </c>
      <c r="G39" s="91">
        <f t="shared" si="2"/>
        <v>0</v>
      </c>
      <c r="H39" s="8">
        <f>SUM(Tabela145[[#This Row],[Coluna1]:[Coluna4]])</f>
        <v>-1192.3941796581016</v>
      </c>
      <c r="I39" s="8">
        <f>Tabela1[[#This Row],[Coluna6]]</f>
        <v>112.32</v>
      </c>
      <c r="J39" s="9">
        <f>Tabela1[[#This Row],[Coluna7]]</f>
        <v>43840</v>
      </c>
      <c r="K39" s="92">
        <f>Tabela1[[#This Row],[Coluna8]]</f>
        <v>0.03</v>
      </c>
      <c r="L39" s="8">
        <f>Tabela1[[#This Row],[Coluna9]]</f>
        <v>112.32</v>
      </c>
      <c r="M39" s="28">
        <f>Tabela1[[#This Row],[Coluna10]]</f>
        <v>43840</v>
      </c>
      <c r="N39" s="1">
        <f>IF(Tabela145[[#This Row],[Coluna12]]&gt;0,M40-Tabela145[[#This Row],[Coluna10]],Tabela145[[#This Row],[Coluna10]]-Tabela145[[#This Row],[Coluna7]])</f>
        <v>0</v>
      </c>
      <c r="O39" s="18">
        <f>Tabela145[[#This Row],[Coluna5]]-Tabela145[[#This Row],[Coluna9]]</f>
        <v>-1304.7141796581016</v>
      </c>
      <c r="P39" s="20">
        <f>Tabela145[[#This Row],[Coluna12]]*Tabela145[[#This Row],[Coluna14]]/30*Tabela145[[#This Row],[Coluna11]]</f>
        <v>0</v>
      </c>
      <c r="Q39" s="13">
        <f>VLOOKUP(Tabela145[[#This Row],[Coluna7]],'tx média'!A:B,2,TRUE)%</f>
        <v>1.7600000000000001E-2</v>
      </c>
      <c r="R39" s="93" t="str">
        <f>IF(Tabela145[[#This Row],[Coluna8]]/Tabela145[[#This Row],[Coluna14]]&gt;1.2,"Abusivo","Normal")</f>
        <v>Abusivo</v>
      </c>
      <c r="S39" s="18">
        <f>Tabela1[[#This Row],[Coluna4]]</f>
        <v>91.64</v>
      </c>
      <c r="T39" s="20">
        <f t="shared" si="1"/>
        <v>0</v>
      </c>
      <c r="U39" s="18">
        <f>Tabela1[[#This Row],[Coluna3]]</f>
        <v>0</v>
      </c>
      <c r="V39" s="108">
        <f>Tabela145[[#This Row],[Coluna16]]-Tabela145[[#This Row],[Coluna17]]+Tabela145[[#This Row],[Coluna18]]</f>
        <v>91.64</v>
      </c>
      <c r="W39" s="18">
        <f>W38+Tabela145[[#This Row],[Coluna19]]</f>
        <v>2124.2470898290499</v>
      </c>
    </row>
    <row r="40" spans="1:23" x14ac:dyDescent="0.25">
      <c r="A40" s="1">
        <v>27</v>
      </c>
      <c r="B40" s="27">
        <f t="shared" si="0"/>
        <v>43871</v>
      </c>
      <c r="C40" s="8">
        <f>H39-L39-Tabela145[[#This Row],[Coluna19]]</f>
        <v>-1395.9741796581015</v>
      </c>
      <c r="D40" s="8">
        <f>Tabela1[[#This Row],[Coluna2]]</f>
        <v>0</v>
      </c>
      <c r="E40" s="19">
        <v>0</v>
      </c>
      <c r="F40" s="8">
        <f>Tabela1[[#This Row],[Coluna32]]</f>
        <v>7.87</v>
      </c>
      <c r="G40" s="91">
        <f t="shared" si="2"/>
        <v>0</v>
      </c>
      <c r="H40" s="8">
        <f>SUM(Tabela145[[#This Row],[Coluna1]:[Coluna4]])</f>
        <v>-1388.1041796581017</v>
      </c>
      <c r="I40" s="8">
        <f>Tabela1[[#This Row],[Coluna6]]</f>
        <v>112.32</v>
      </c>
      <c r="J40" s="9">
        <f>Tabela1[[#This Row],[Coluna7]]</f>
        <v>43871</v>
      </c>
      <c r="K40" s="92">
        <f>Tabela1[[#This Row],[Coluna8]]</f>
        <v>0.03</v>
      </c>
      <c r="L40" s="8">
        <f>Tabela1[[#This Row],[Coluna9]]</f>
        <v>112.32</v>
      </c>
      <c r="M40" s="28">
        <f>Tabela1[[#This Row],[Coluna10]]</f>
        <v>43871</v>
      </c>
      <c r="N40" s="1">
        <f>IF(Tabela145[[#This Row],[Coluna12]]&gt;0,M41-Tabela145[[#This Row],[Coluna10]],Tabela145[[#This Row],[Coluna10]]-Tabela145[[#This Row],[Coluna7]])</f>
        <v>0</v>
      </c>
      <c r="O40" s="18">
        <f>Tabela145[[#This Row],[Coluna5]]-Tabela145[[#This Row],[Coluna9]]</f>
        <v>-1500.4241796581016</v>
      </c>
      <c r="P40" s="20">
        <f>Tabela145[[#This Row],[Coluna12]]*Tabela145[[#This Row],[Coluna14]]/30*Tabela145[[#This Row],[Coluna11]]</f>
        <v>0</v>
      </c>
      <c r="Q40" s="13">
        <f>VLOOKUP(Tabela145[[#This Row],[Coluna7]],'tx média'!A:B,2,TRUE)%</f>
        <v>1.78E-2</v>
      </c>
      <c r="R40" s="93" t="str">
        <f>IF(Tabela145[[#This Row],[Coluna8]]/Tabela145[[#This Row],[Coluna14]]&gt;1.2,"Abusivo","Normal")</f>
        <v>Abusivo</v>
      </c>
      <c r="S40" s="18">
        <f>Tabela1[[#This Row],[Coluna4]]</f>
        <v>91.26</v>
      </c>
      <c r="T40" s="20">
        <f t="shared" si="1"/>
        <v>0</v>
      </c>
      <c r="U40" s="18">
        <f>Tabela1[[#This Row],[Coluna3]]</f>
        <v>0</v>
      </c>
      <c r="V40" s="108">
        <f>Tabela145[[#This Row],[Coluna16]]-Tabela145[[#This Row],[Coluna17]]+Tabela145[[#This Row],[Coluna18]]</f>
        <v>91.26</v>
      </c>
      <c r="W40" s="18">
        <f>W39+Tabela145[[#This Row],[Coluna19]]</f>
        <v>2215.5070898290501</v>
      </c>
    </row>
    <row r="41" spans="1:23" x14ac:dyDescent="0.25">
      <c r="A41" s="1">
        <v>28</v>
      </c>
      <c r="B41" s="27">
        <f t="shared" si="0"/>
        <v>43900</v>
      </c>
      <c r="C41" s="8">
        <f>H40-L40-Tabela145[[#This Row],[Coluna19]]</f>
        <v>-1585.4041796581016</v>
      </c>
      <c r="D41" s="8">
        <f>Tabela1[[#This Row],[Coluna2]]</f>
        <v>0</v>
      </c>
      <c r="E41" s="19">
        <v>0</v>
      </c>
      <c r="F41" s="8">
        <f>Tabela1[[#This Row],[Coluna32]]</f>
        <v>7.35</v>
      </c>
      <c r="G41" s="91">
        <f t="shared" si="2"/>
        <v>0</v>
      </c>
      <c r="H41" s="8">
        <f>SUM(Tabela145[[#This Row],[Coluna1]:[Coluna4]])</f>
        <v>-1578.0541796581017</v>
      </c>
      <c r="I41" s="8">
        <f>Tabela1[[#This Row],[Coluna6]]</f>
        <v>112.32</v>
      </c>
      <c r="J41" s="9">
        <f>Tabela1[[#This Row],[Coluna7]]</f>
        <v>43900</v>
      </c>
      <c r="K41" s="92">
        <f>Tabela1[[#This Row],[Coluna8]]</f>
        <v>0.03</v>
      </c>
      <c r="L41" s="8">
        <f>Tabela1[[#This Row],[Coluna9]]</f>
        <v>112.32</v>
      </c>
      <c r="M41" s="28">
        <f>Tabela1[[#This Row],[Coluna10]]</f>
        <v>43900</v>
      </c>
      <c r="N41" s="1">
        <f>IF(Tabela145[[#This Row],[Coluna12]]&gt;0,M42-Tabela145[[#This Row],[Coluna10]],Tabela145[[#This Row],[Coluna10]]-Tabela145[[#This Row],[Coluna7]])</f>
        <v>0</v>
      </c>
      <c r="O41" s="18">
        <f>Tabela145[[#This Row],[Coluna5]]-Tabela145[[#This Row],[Coluna9]]</f>
        <v>-1690.3741796581016</v>
      </c>
      <c r="P41" s="20">
        <f>Tabela145[[#This Row],[Coluna12]]*Tabela145[[#This Row],[Coluna14]]/30*Tabela145[[#This Row],[Coluna11]]</f>
        <v>0</v>
      </c>
      <c r="Q41" s="13">
        <f>VLOOKUP(Tabela145[[#This Row],[Coluna7]],'tx média'!A:B,2,TRUE)%</f>
        <v>1.72E-2</v>
      </c>
      <c r="R41" s="93" t="str">
        <f>IF(Tabela145[[#This Row],[Coluna8]]/Tabela145[[#This Row],[Coluna14]]&gt;1.2,"Abusivo","Normal")</f>
        <v>Abusivo</v>
      </c>
      <c r="S41" s="18">
        <f>Tabela1[[#This Row],[Coluna4]]</f>
        <v>84.98</v>
      </c>
      <c r="T41" s="20">
        <f t="shared" si="1"/>
        <v>0</v>
      </c>
      <c r="U41" s="18">
        <f>Tabela1[[#This Row],[Coluna3]]</f>
        <v>0</v>
      </c>
      <c r="V41" s="108">
        <f>Tabela145[[#This Row],[Coluna16]]-Tabela145[[#This Row],[Coluna17]]+Tabela145[[#This Row],[Coluna18]]</f>
        <v>84.98</v>
      </c>
      <c r="W41" s="18">
        <f>W40+Tabela145[[#This Row],[Coluna19]]</f>
        <v>2300.4870898290501</v>
      </c>
    </row>
    <row r="42" spans="1:23" x14ac:dyDescent="0.25">
      <c r="A42" s="1">
        <v>29</v>
      </c>
      <c r="B42" s="27">
        <f t="shared" si="0"/>
        <v>43931</v>
      </c>
      <c r="C42" s="8">
        <f>H41-L41-Tabela145[[#This Row],[Coluna19]]</f>
        <v>-1780.6041796581017</v>
      </c>
      <c r="D42" s="8">
        <f>Tabela1[[#This Row],[Coluna2]]</f>
        <v>0</v>
      </c>
      <c r="E42" s="19">
        <v>0</v>
      </c>
      <c r="F42" s="8">
        <f>Tabela1[[#This Row],[Coluna32]]</f>
        <v>7.76</v>
      </c>
      <c r="G42" s="91">
        <f t="shared" si="2"/>
        <v>0</v>
      </c>
      <c r="H42" s="8">
        <f>SUM(Tabela145[[#This Row],[Coluna1]:[Coluna4]])</f>
        <v>-1772.8441796581017</v>
      </c>
      <c r="I42" s="8">
        <f>Tabela1[[#This Row],[Coluna6]]</f>
        <v>112.32</v>
      </c>
      <c r="J42" s="9">
        <f>Tabela1[[#This Row],[Coluna7]]</f>
        <v>43931</v>
      </c>
      <c r="K42" s="92">
        <f>Tabela1[[#This Row],[Coluna8]]</f>
        <v>2.7E-2</v>
      </c>
      <c r="L42" s="8">
        <f>Tabela1[[#This Row],[Coluna9]]</f>
        <v>112.32</v>
      </c>
      <c r="M42" s="28">
        <f>Tabela1[[#This Row],[Coluna10]]</f>
        <v>43931</v>
      </c>
      <c r="N42" s="1">
        <f>IF(Tabela145[[#This Row],[Coluna12]]&gt;0,M43-Tabela145[[#This Row],[Coluna10]],Tabela145[[#This Row],[Coluna10]]-Tabela145[[#This Row],[Coluna7]])</f>
        <v>0</v>
      </c>
      <c r="O42" s="18">
        <f>Tabela145[[#This Row],[Coluna5]]-Tabela145[[#This Row],[Coluna9]]</f>
        <v>-1885.1641796581016</v>
      </c>
      <c r="P42" s="20">
        <f>Tabela145[[#This Row],[Coluna12]]*Tabela145[[#This Row],[Coluna14]]/30*Tabela145[[#This Row],[Coluna11]]</f>
        <v>0</v>
      </c>
      <c r="Q42" s="13">
        <f>VLOOKUP(Tabela145[[#This Row],[Coluna7]],'tx média'!A:B,2,TRUE)%</f>
        <v>1.6399999999999998E-2</v>
      </c>
      <c r="R42" s="93" t="str">
        <f>IF(Tabela145[[#This Row],[Coluna8]]/Tabela145[[#This Row],[Coluna14]]&gt;1.2,"Abusivo","Normal")</f>
        <v>Abusivo</v>
      </c>
      <c r="S42" s="18">
        <f>Tabela1[[#This Row],[Coluna4]]</f>
        <v>90.23</v>
      </c>
      <c r="T42" s="20">
        <f t="shared" si="1"/>
        <v>0</v>
      </c>
      <c r="U42" s="18">
        <f>Tabela1[[#This Row],[Coluna3]]</f>
        <v>0</v>
      </c>
      <c r="V42" s="108">
        <f>Tabela145[[#This Row],[Coluna16]]-Tabela145[[#This Row],[Coluna17]]+Tabela145[[#This Row],[Coluna18]]</f>
        <v>90.23</v>
      </c>
      <c r="W42" s="18">
        <f>W41+Tabela145[[#This Row],[Coluna19]]</f>
        <v>2390.7170898290501</v>
      </c>
    </row>
    <row r="43" spans="1:23" x14ac:dyDescent="0.25">
      <c r="A43" s="1">
        <v>30</v>
      </c>
      <c r="B43" s="27">
        <f t="shared" si="0"/>
        <v>43961</v>
      </c>
      <c r="C43" s="8">
        <f>H42-L42-Tabela145[[#This Row],[Coluna19]]</f>
        <v>-1963.3141796581017</v>
      </c>
      <c r="D43" s="8">
        <f>Tabela1[[#This Row],[Coluna2]]</f>
        <v>0</v>
      </c>
      <c r="E43" s="19">
        <v>0</v>
      </c>
      <c r="F43" s="8">
        <f>Tabela1[[#This Row],[Coluna32]]</f>
        <v>-1.91</v>
      </c>
      <c r="G43" s="91">
        <f t="shared" si="2"/>
        <v>0</v>
      </c>
      <c r="H43" s="8">
        <f>SUM(Tabela145[[#This Row],[Coluna1]:[Coluna4]])</f>
        <v>-1965.2241796581018</v>
      </c>
      <c r="I43" s="8">
        <f>Tabela1[[#This Row],[Coluna6]]</f>
        <v>112.32</v>
      </c>
      <c r="J43" s="9">
        <f>Tabela1[[#This Row],[Coluna7]]</f>
        <v>43961</v>
      </c>
      <c r="K43" s="92">
        <f>Tabela1[[#This Row],[Coluna8]]</f>
        <v>2.7E-2</v>
      </c>
      <c r="L43" s="8">
        <f>Tabela1[[#This Row],[Coluna9]]</f>
        <v>112.32</v>
      </c>
      <c r="M43" s="28">
        <f>Tabela1[[#This Row],[Coluna10]]</f>
        <v>43961</v>
      </c>
      <c r="N43" s="1">
        <f>IF(Tabela145[[#This Row],[Coluna12]]&gt;0,M44-Tabela145[[#This Row],[Coluna10]],Tabela145[[#This Row],[Coluna10]]-Tabela145[[#This Row],[Coluna7]])</f>
        <v>0</v>
      </c>
      <c r="O43" s="18">
        <f>Tabela145[[#This Row],[Coluna5]]-Tabela145[[#This Row],[Coluna9]]</f>
        <v>-2077.5441796581017</v>
      </c>
      <c r="P43" s="20">
        <f>Tabela145[[#This Row],[Coluna12]]*Tabela145[[#This Row],[Coluna14]]/30*Tabela145[[#This Row],[Coluna11]]</f>
        <v>0</v>
      </c>
      <c r="Q43" s="13">
        <f>VLOOKUP(Tabela145[[#This Row],[Coluna7]],'tx média'!A:B,2,TRUE)%</f>
        <v>1.6299999999999999E-2</v>
      </c>
      <c r="R43" s="93" t="str">
        <f>IF(Tabela145[[#This Row],[Coluna8]]/Tabela145[[#This Row],[Coluna14]]&gt;1.2,"Abusivo","Normal")</f>
        <v>Abusivo</v>
      </c>
      <c r="S43" s="18">
        <f>Tabela1[[#This Row],[Coluna4]]</f>
        <v>78.150000000000006</v>
      </c>
      <c r="T43" s="20">
        <f t="shared" si="1"/>
        <v>0</v>
      </c>
      <c r="U43" s="18">
        <f>Tabela1[[#This Row],[Coluna3]]</f>
        <v>0</v>
      </c>
      <c r="V43" s="108">
        <f>Tabela145[[#This Row],[Coluna16]]-Tabela145[[#This Row],[Coluna17]]+Tabela145[[#This Row],[Coluna18]]</f>
        <v>78.150000000000006</v>
      </c>
      <c r="W43" s="18">
        <f>W42+Tabela145[[#This Row],[Coluna19]]</f>
        <v>2468.8670898290502</v>
      </c>
    </row>
    <row r="44" spans="1:23" x14ac:dyDescent="0.25">
      <c r="A44" s="1">
        <v>31</v>
      </c>
      <c r="B44" s="27">
        <f t="shared" si="0"/>
        <v>43992</v>
      </c>
      <c r="C44" s="8">
        <f>H43-L43-Tabela145[[#This Row],[Coluna19]]</f>
        <v>-2157.3441796581019</v>
      </c>
      <c r="D44" s="8">
        <f>Tabela1[[#This Row],[Coluna2]]</f>
        <v>0</v>
      </c>
      <c r="E44" s="19">
        <v>0</v>
      </c>
      <c r="F44" s="8">
        <f>Tabela1[[#This Row],[Coluna32]]</f>
        <v>0</v>
      </c>
      <c r="G44" s="91">
        <f t="shared" si="2"/>
        <v>0</v>
      </c>
      <c r="H44" s="8">
        <f>SUM(Tabela145[[#This Row],[Coluna1]:[Coluna4]])</f>
        <v>-2157.3441796581019</v>
      </c>
      <c r="I44" s="8">
        <f>Tabela1[[#This Row],[Coluna6]]</f>
        <v>112.32</v>
      </c>
      <c r="J44" s="9">
        <f>Tabela1[[#This Row],[Coluna7]]</f>
        <v>43992</v>
      </c>
      <c r="K44" s="92">
        <f>Tabela1[[#This Row],[Coluna8]]</f>
        <v>2.7E-2</v>
      </c>
      <c r="L44" s="8">
        <f>Tabela1[[#This Row],[Coluna9]]</f>
        <v>112.32</v>
      </c>
      <c r="M44" s="28">
        <f>Tabela1[[#This Row],[Coluna10]]</f>
        <v>43992</v>
      </c>
      <c r="N44" s="1">
        <f>IF(Tabela145[[#This Row],[Coluna12]]&gt;0,M45-Tabela145[[#This Row],[Coluna10]],Tabela145[[#This Row],[Coluna10]]-Tabela145[[#This Row],[Coluna7]])</f>
        <v>0</v>
      </c>
      <c r="O44" s="18">
        <f>Tabela145[[#This Row],[Coluna5]]-Tabela145[[#This Row],[Coluna9]]</f>
        <v>-2269.6641796581021</v>
      </c>
      <c r="P44" s="20">
        <f>Tabela145[[#This Row],[Coluna12]]*Tabela145[[#This Row],[Coluna14]]/30*Tabela145[[#This Row],[Coluna11]]</f>
        <v>0</v>
      </c>
      <c r="Q44" s="13">
        <f>VLOOKUP(Tabela145[[#This Row],[Coluna7]],'tx média'!A:B,2,TRUE)%</f>
        <v>1.6200000000000003E-2</v>
      </c>
      <c r="R44" s="93" t="str">
        <f>IF(Tabela145[[#This Row],[Coluna8]]/Tabela145[[#This Row],[Coluna14]]&gt;1.2,"Abusivo","Normal")</f>
        <v>Abusivo</v>
      </c>
      <c r="S44" s="18">
        <f>Tabela1[[#This Row],[Coluna4]]</f>
        <v>79.8</v>
      </c>
      <c r="T44" s="20">
        <f t="shared" si="1"/>
        <v>0</v>
      </c>
      <c r="U44" s="18">
        <f>Tabela1[[#This Row],[Coluna3]]</f>
        <v>0</v>
      </c>
      <c r="V44" s="108">
        <f>Tabela145[[#This Row],[Coluna16]]-Tabela145[[#This Row],[Coluna17]]+Tabela145[[#This Row],[Coluna18]]</f>
        <v>79.8</v>
      </c>
      <c r="W44" s="18">
        <f>W43+Tabela145[[#This Row],[Coluna19]]</f>
        <v>2548.6670898290504</v>
      </c>
    </row>
    <row r="45" spans="1:23" x14ac:dyDescent="0.25">
      <c r="A45" s="1">
        <v>32</v>
      </c>
      <c r="B45" s="27">
        <f t="shared" si="0"/>
        <v>44022</v>
      </c>
      <c r="C45" s="8">
        <f>H44-L44-Tabela145[[#This Row],[Coluna19]]</f>
        <v>-2346.014179658102</v>
      </c>
      <c r="D45" s="8">
        <f>Tabela1[[#This Row],[Coluna2]]</f>
        <v>0</v>
      </c>
      <c r="E45" s="19">
        <v>0</v>
      </c>
      <c r="F45" s="8">
        <f>Tabela1[[#This Row],[Coluna32]]</f>
        <v>0</v>
      </c>
      <c r="G45" s="91">
        <f t="shared" si="2"/>
        <v>0</v>
      </c>
      <c r="H45" s="8">
        <f>SUM(Tabela145[[#This Row],[Coluna1]:[Coluna4]])</f>
        <v>-2346.014179658102</v>
      </c>
      <c r="I45" s="8">
        <f>Tabela1[[#This Row],[Coluna6]]</f>
        <v>112.32</v>
      </c>
      <c r="J45" s="9">
        <f>Tabela1[[#This Row],[Coluna7]]</f>
        <v>44022</v>
      </c>
      <c r="K45" s="92">
        <f>Tabela1[[#This Row],[Coluna8]]</f>
        <v>2.7E-2</v>
      </c>
      <c r="L45" s="8">
        <f>Tabela1[[#This Row],[Coluna9]]</f>
        <v>112.32</v>
      </c>
      <c r="M45" s="28">
        <f>Tabela1[[#This Row],[Coluna10]]</f>
        <v>44022</v>
      </c>
      <c r="N45" s="1">
        <f>IF(Tabela145[[#This Row],[Coluna12]]&gt;0,M46-Tabela145[[#This Row],[Coluna10]],Tabela145[[#This Row],[Coluna10]]-Tabela145[[#This Row],[Coluna7]])</f>
        <v>0</v>
      </c>
      <c r="O45" s="18">
        <f>Tabela145[[#This Row],[Coluna5]]-Tabela145[[#This Row],[Coluna9]]</f>
        <v>-2458.3341796581021</v>
      </c>
      <c r="P45" s="20">
        <f>Tabela145[[#This Row],[Coluna12]]*Tabela145[[#This Row],[Coluna14]]/30*Tabela145[[#This Row],[Coluna11]]</f>
        <v>0</v>
      </c>
      <c r="Q45" s="13">
        <f>VLOOKUP(Tabela145[[#This Row],[Coluna7]],'tx média'!A:B,2,TRUE)%</f>
        <v>1.5600000000000001E-2</v>
      </c>
      <c r="R45" s="93" t="str">
        <f>IF(Tabela145[[#This Row],[Coluna8]]/Tabela145[[#This Row],[Coluna14]]&gt;1.2,"Abusivo","Normal")</f>
        <v>Abusivo</v>
      </c>
      <c r="S45" s="18">
        <f>Tabela1[[#This Row],[Coluna4]]</f>
        <v>76.349999999999994</v>
      </c>
      <c r="T45" s="20">
        <f t="shared" si="1"/>
        <v>0</v>
      </c>
      <c r="U45" s="18">
        <f>Tabela1[[#This Row],[Coluna3]]</f>
        <v>0</v>
      </c>
      <c r="V45" s="108">
        <f>Tabela145[[#This Row],[Coluna16]]-Tabela145[[#This Row],[Coluna17]]+Tabela145[[#This Row],[Coluna18]]</f>
        <v>76.349999999999994</v>
      </c>
      <c r="W45" s="18">
        <f>W44+Tabela145[[#This Row],[Coluna19]]</f>
        <v>2625.0170898290503</v>
      </c>
    </row>
    <row r="46" spans="1:23" x14ac:dyDescent="0.25">
      <c r="A46" s="1">
        <v>33</v>
      </c>
      <c r="B46" s="27">
        <f t="shared" si="0"/>
        <v>44053</v>
      </c>
      <c r="C46" s="8">
        <f>H45-L45-Tabela145[[#This Row],[Coluna19]]</f>
        <v>-2536.224179658102</v>
      </c>
      <c r="D46" s="8">
        <f>Tabela1[[#This Row],[Coluna2]]</f>
        <v>0</v>
      </c>
      <c r="E46" s="19">
        <v>0</v>
      </c>
      <c r="F46" s="8">
        <f>Tabela1[[#This Row],[Coluna32]]</f>
        <v>0</v>
      </c>
      <c r="G46" s="91">
        <f t="shared" si="2"/>
        <v>0</v>
      </c>
      <c r="H46" s="8">
        <f>SUM(Tabela145[[#This Row],[Coluna1]:[Coluna4]])</f>
        <v>-2536.224179658102</v>
      </c>
      <c r="I46" s="8">
        <f>Tabela1[[#This Row],[Coluna6]]</f>
        <v>112.32</v>
      </c>
      <c r="J46" s="9">
        <f>Tabela1[[#This Row],[Coluna7]]</f>
        <v>44053</v>
      </c>
      <c r="K46" s="92">
        <f>Tabela1[[#This Row],[Coluna8]]</f>
        <v>2.7E-2</v>
      </c>
      <c r="L46" s="8">
        <f>Tabela1[[#This Row],[Coluna9]]</f>
        <v>112.32</v>
      </c>
      <c r="M46" s="28">
        <f>Tabela1[[#This Row],[Coluna10]]</f>
        <v>44053</v>
      </c>
      <c r="N46" s="1">
        <f>IF(Tabela145[[#This Row],[Coluna12]]&gt;0,M47-Tabela145[[#This Row],[Coluna10]],Tabela145[[#This Row],[Coluna10]]-Tabela145[[#This Row],[Coluna7]])</f>
        <v>0</v>
      </c>
      <c r="O46" s="18">
        <f>Tabela145[[#This Row],[Coluna5]]-Tabela145[[#This Row],[Coluna9]]</f>
        <v>-2648.5441796581022</v>
      </c>
      <c r="P46" s="20">
        <f>Tabela145[[#This Row],[Coluna12]]*Tabela145[[#This Row],[Coluna14]]/30*Tabela145[[#This Row],[Coluna11]]</f>
        <v>0</v>
      </c>
      <c r="Q46" s="13">
        <f>VLOOKUP(Tabela145[[#This Row],[Coluna7]],'tx média'!A:B,2,TRUE)%</f>
        <v>1.5600000000000001E-2</v>
      </c>
      <c r="R46" s="93" t="str">
        <f>IF(Tabela145[[#This Row],[Coluna8]]/Tabela145[[#This Row],[Coluna14]]&gt;1.2,"Abusivo","Normal")</f>
        <v>Abusivo</v>
      </c>
      <c r="S46" s="18">
        <f>Tabela1[[#This Row],[Coluna4]]</f>
        <v>77.89</v>
      </c>
      <c r="T46" s="20">
        <f t="shared" si="1"/>
        <v>0</v>
      </c>
      <c r="U46" s="18">
        <f>Tabela1[[#This Row],[Coluna3]]</f>
        <v>0</v>
      </c>
      <c r="V46" s="108">
        <f>Tabela145[[#This Row],[Coluna16]]-Tabela145[[#This Row],[Coluna17]]+Tabela145[[#This Row],[Coluna18]]</f>
        <v>77.89</v>
      </c>
      <c r="W46" s="18">
        <f>W45+Tabela145[[#This Row],[Coluna19]]</f>
        <v>2702.9070898290502</v>
      </c>
    </row>
    <row r="47" spans="1:23" x14ac:dyDescent="0.25">
      <c r="A47" s="1">
        <v>34</v>
      </c>
      <c r="B47" s="27">
        <f t="shared" si="0"/>
        <v>44084</v>
      </c>
      <c r="C47" s="8">
        <f>H46-L46-Tabela145[[#This Row],[Coluna19]]</f>
        <v>-2725.474179658102</v>
      </c>
      <c r="D47" s="8">
        <f>Tabela1[[#This Row],[Coluna2]]</f>
        <v>0</v>
      </c>
      <c r="E47" s="19">
        <v>0</v>
      </c>
      <c r="F47" s="8">
        <f>Tabela1[[#This Row],[Coluna32]]</f>
        <v>0</v>
      </c>
      <c r="G47" s="91">
        <f t="shared" si="2"/>
        <v>0</v>
      </c>
      <c r="H47" s="8">
        <f>SUM(Tabela145[[#This Row],[Coluna1]:[Coluna4]])</f>
        <v>-2725.474179658102</v>
      </c>
      <c r="I47" s="8">
        <f>Tabela1[[#This Row],[Coluna6]]</f>
        <v>112.32</v>
      </c>
      <c r="J47" s="9">
        <f>Tabela1[[#This Row],[Coluna7]]</f>
        <v>44084</v>
      </c>
      <c r="K47" s="92">
        <f>Tabela1[[#This Row],[Coluna8]]</f>
        <v>2.7E-2</v>
      </c>
      <c r="L47" s="8">
        <f>Tabela1[[#This Row],[Coluna9]]</f>
        <v>112.32</v>
      </c>
      <c r="M47" s="28">
        <f>Tabela1[[#This Row],[Coluna10]]</f>
        <v>44084</v>
      </c>
      <c r="N47" s="1">
        <f>IF(Tabela145[[#This Row],[Coluna12]]&gt;0,M48-Tabela145[[#This Row],[Coluna10]],Tabela145[[#This Row],[Coluna10]]-Tabela145[[#This Row],[Coluna7]])</f>
        <v>0</v>
      </c>
      <c r="O47" s="18">
        <f>Tabela145[[#This Row],[Coluna5]]-Tabela145[[#This Row],[Coluna9]]</f>
        <v>-2837.7941796581022</v>
      </c>
      <c r="P47" s="20">
        <f>Tabela145[[#This Row],[Coluna12]]*Tabela145[[#This Row],[Coluna14]]/30*Tabela145[[#This Row],[Coluna11]]</f>
        <v>0</v>
      </c>
      <c r="Q47" s="13">
        <f>VLOOKUP(Tabela145[[#This Row],[Coluna7]],'tx média'!A:B,2,TRUE)%</f>
        <v>1.55E-2</v>
      </c>
      <c r="R47" s="93" t="str">
        <f>IF(Tabela145[[#This Row],[Coluna8]]/Tabela145[[#This Row],[Coluna14]]&gt;1.2,"Abusivo","Normal")</f>
        <v>Abusivo</v>
      </c>
      <c r="S47" s="18">
        <f>Tabela1[[#This Row],[Coluna4]]</f>
        <v>76.930000000000007</v>
      </c>
      <c r="T47" s="20">
        <f t="shared" si="1"/>
        <v>0</v>
      </c>
      <c r="U47" s="18">
        <f>Tabela1[[#This Row],[Coluna3]]</f>
        <v>0</v>
      </c>
      <c r="V47" s="108">
        <f>Tabela145[[#This Row],[Coluna16]]-Tabela145[[#This Row],[Coluna17]]+Tabela145[[#This Row],[Coluna18]]</f>
        <v>76.930000000000007</v>
      </c>
      <c r="W47" s="18">
        <f>W46+Tabela145[[#This Row],[Coluna19]]</f>
        <v>2779.83708982905</v>
      </c>
    </row>
    <row r="48" spans="1:23" x14ac:dyDescent="0.25">
      <c r="A48" s="1">
        <v>35</v>
      </c>
      <c r="B48" s="27">
        <f t="shared" si="0"/>
        <v>44114</v>
      </c>
      <c r="C48" s="8">
        <f>H47-L47-Tabela145[[#This Row],[Coluna19]]</f>
        <v>-2911.2841796581019</v>
      </c>
      <c r="D48" s="8">
        <f>Tabela1[[#This Row],[Coluna2]]</f>
        <v>0</v>
      </c>
      <c r="E48" s="19">
        <v>0</v>
      </c>
      <c r="F48" s="8">
        <f>Tabela1[[#This Row],[Coluna32]]</f>
        <v>0</v>
      </c>
      <c r="G48" s="91">
        <f t="shared" si="2"/>
        <v>0</v>
      </c>
      <c r="H48" s="8">
        <f>SUM(Tabela145[[#This Row],[Coluna1]:[Coluna4]])</f>
        <v>-2911.2841796581019</v>
      </c>
      <c r="I48" s="8">
        <f>Tabela1[[#This Row],[Coluna6]]</f>
        <v>112.32</v>
      </c>
      <c r="J48" s="9">
        <f>Tabela1[[#This Row],[Coluna7]]</f>
        <v>44114</v>
      </c>
      <c r="K48" s="92">
        <f>Tabela1[[#This Row],[Coluna8]]</f>
        <v>2.7E-2</v>
      </c>
      <c r="L48" s="8">
        <f>Tabela1[[#This Row],[Coluna9]]</f>
        <v>112.32</v>
      </c>
      <c r="M48" s="28">
        <f>Tabela1[[#This Row],[Coluna10]]</f>
        <v>44114</v>
      </c>
      <c r="N48" s="1">
        <f>IF(Tabela145[[#This Row],[Coluna12]]&gt;0,M49-Tabela145[[#This Row],[Coluna10]],Tabela145[[#This Row],[Coluna10]]-Tabela145[[#This Row],[Coluna7]])</f>
        <v>0</v>
      </c>
      <c r="O48" s="18">
        <f>Tabela145[[#This Row],[Coluna5]]-Tabela145[[#This Row],[Coluna9]]</f>
        <v>-3023.6041796581021</v>
      </c>
      <c r="P48" s="20">
        <f>Tabela145[[#This Row],[Coluna12]]*Tabela145[[#This Row],[Coluna14]]/30*Tabela145[[#This Row],[Coluna11]]</f>
        <v>0</v>
      </c>
      <c r="Q48" s="13">
        <f>VLOOKUP(Tabela145[[#This Row],[Coluna7]],'tx média'!A:B,2,TRUE)%</f>
        <v>1.6500000000000001E-2</v>
      </c>
      <c r="R48" s="93" t="str">
        <f>IF(Tabela145[[#This Row],[Coluna8]]/Tabela145[[#This Row],[Coluna14]]&gt;1.2,"Abusivo","Normal")</f>
        <v>Abusivo</v>
      </c>
      <c r="S48" s="18">
        <f>Tabela1[[#This Row],[Coluna4]]</f>
        <v>73.489999999999995</v>
      </c>
      <c r="T48" s="20">
        <f t="shared" si="1"/>
        <v>0</v>
      </c>
      <c r="U48" s="18">
        <f>Tabela1[[#This Row],[Coluna3]]</f>
        <v>0</v>
      </c>
      <c r="V48" s="108">
        <f>Tabela145[[#This Row],[Coluna16]]-Tabela145[[#This Row],[Coluna17]]+Tabela145[[#This Row],[Coluna18]]</f>
        <v>73.489999999999995</v>
      </c>
      <c r="W48" s="18">
        <f>W47+Tabela145[[#This Row],[Coluna19]]</f>
        <v>2853.3270898290498</v>
      </c>
    </row>
    <row r="49" spans="1:23" x14ac:dyDescent="0.25">
      <c r="A49" s="1">
        <v>36</v>
      </c>
      <c r="B49" s="27">
        <f t="shared" si="0"/>
        <v>44145</v>
      </c>
      <c r="C49" s="8">
        <f>H48-L48-Tabela145[[#This Row],[Coluna19]]</f>
        <v>-3098.474179658102</v>
      </c>
      <c r="D49" s="8">
        <f>Tabela1[[#This Row],[Coluna2]]</f>
        <v>0</v>
      </c>
      <c r="E49" s="19">
        <v>0</v>
      </c>
      <c r="F49" s="8">
        <f>Tabela1[[#This Row],[Coluna32]]</f>
        <v>0</v>
      </c>
      <c r="G49" s="91">
        <f t="shared" si="2"/>
        <v>0</v>
      </c>
      <c r="H49" s="8">
        <f>SUM(Tabela145[[#This Row],[Coluna1]:[Coluna4]])</f>
        <v>-3098.474179658102</v>
      </c>
      <c r="I49" s="8">
        <f>Tabela1[[#This Row],[Coluna6]]</f>
        <v>112.32</v>
      </c>
      <c r="J49" s="9">
        <f>Tabela1[[#This Row],[Coluna7]]</f>
        <v>44145</v>
      </c>
      <c r="K49" s="92">
        <f>Tabela1[[#This Row],[Coluna8]]</f>
        <v>2.7E-2</v>
      </c>
      <c r="L49" s="8">
        <f>Tabela1[[#This Row],[Coluna9]]</f>
        <v>112.32</v>
      </c>
      <c r="M49" s="28">
        <f>Tabela1[[#This Row],[Coluna10]]</f>
        <v>44145</v>
      </c>
      <c r="N49" s="1">
        <f>IF(Tabela145[[#This Row],[Coluna12]]&gt;0,M50-Tabela145[[#This Row],[Coluna10]],Tabela145[[#This Row],[Coluna10]]-Tabela145[[#This Row],[Coluna7]])</f>
        <v>0</v>
      </c>
      <c r="O49" s="18">
        <f>Tabela145[[#This Row],[Coluna5]]-Tabela145[[#This Row],[Coluna9]]</f>
        <v>-3210.7941796581022</v>
      </c>
      <c r="P49" s="20">
        <f>Tabela145[[#This Row],[Coluna12]]*Tabela145[[#This Row],[Coluna14]]/30*Tabela145[[#This Row],[Coluna11]]</f>
        <v>0</v>
      </c>
      <c r="Q49" s="13">
        <f>VLOOKUP(Tabela145[[#This Row],[Coluna7]],'tx média'!A:B,2,TRUE)%</f>
        <v>1.6299999999999999E-2</v>
      </c>
      <c r="R49" s="93" t="str">
        <f>IF(Tabela145[[#This Row],[Coluna8]]/Tabela145[[#This Row],[Coluna14]]&gt;1.2,"Abusivo","Normal")</f>
        <v>Abusivo</v>
      </c>
      <c r="S49" s="18">
        <f>Tabela1[[#This Row],[Coluna4]]</f>
        <v>74.87</v>
      </c>
      <c r="T49" s="20">
        <f t="shared" si="1"/>
        <v>0</v>
      </c>
      <c r="U49" s="18">
        <f>Tabela1[[#This Row],[Coluna3]]</f>
        <v>0</v>
      </c>
      <c r="V49" s="108">
        <f>Tabela145[[#This Row],[Coluna16]]-Tabela145[[#This Row],[Coluna17]]+Tabela145[[#This Row],[Coluna18]]</f>
        <v>74.87</v>
      </c>
      <c r="W49" s="18">
        <f>W48+Tabela145[[#This Row],[Coluna19]]</f>
        <v>2928.1970898290497</v>
      </c>
    </row>
    <row r="50" spans="1:23" x14ac:dyDescent="0.25">
      <c r="A50" s="1">
        <v>37</v>
      </c>
      <c r="B50" s="27">
        <f t="shared" si="0"/>
        <v>44175</v>
      </c>
      <c r="C50" s="8">
        <f>H49-L49-Tabela145[[#This Row],[Coluna19]]</f>
        <v>-3462.8041796581024</v>
      </c>
      <c r="D50" s="8">
        <f>Tabela1[[#This Row],[Coluna2]]</f>
        <v>0</v>
      </c>
      <c r="E50" s="19">
        <v>0</v>
      </c>
      <c r="F50" s="8">
        <f>Tabela1[[#This Row],[Coluna32]]</f>
        <v>0</v>
      </c>
      <c r="G50" s="91">
        <f t="shared" si="2"/>
        <v>0</v>
      </c>
      <c r="H50" s="8">
        <f>SUM(Tabela145[[#This Row],[Coluna1]:[Coluna4]])</f>
        <v>-3462.8041796581024</v>
      </c>
      <c r="I50" s="8">
        <f>Tabela1[[#This Row],[Coluna6]]</f>
        <v>112.32</v>
      </c>
      <c r="J50" s="9">
        <f>Tabela1[[#This Row],[Coluna7]]</f>
        <v>44175</v>
      </c>
      <c r="K50" s="92">
        <f>Tabela1[[#This Row],[Coluna8]]</f>
        <v>2.7E-2</v>
      </c>
      <c r="L50" s="8">
        <f>Tabela1[[#This Row],[Coluna9]]</f>
        <v>112.32</v>
      </c>
      <c r="M50" s="28">
        <f>Tabela1[[#This Row],[Coluna10]]</f>
        <v>44175</v>
      </c>
      <c r="N50" s="1">
        <f>IF(Tabela145[[#This Row],[Coluna12]]&gt;0,M51-Tabela145[[#This Row],[Coluna10]],Tabela145[[#This Row],[Coluna10]]-Tabela145[[#This Row],[Coluna7]])</f>
        <v>0</v>
      </c>
      <c r="O50" s="18">
        <f>Tabela145[[#This Row],[Coluna5]]-Tabela145[[#This Row],[Coluna9]]</f>
        <v>-3575.1241796581025</v>
      </c>
      <c r="P50" s="20">
        <f>Tabela145[[#This Row],[Coluna12]]*Tabela145[[#This Row],[Coluna14]]/30*Tabela145[[#This Row],[Coluna11]]</f>
        <v>0</v>
      </c>
      <c r="Q50" s="13">
        <f>VLOOKUP(Tabela145[[#This Row],[Coluna7]],'tx média'!A:B,2,TRUE)%</f>
        <v>1.6E-2</v>
      </c>
      <c r="R50" s="93" t="str">
        <f>IF(Tabela145[[#This Row],[Coluna8]]/Tabela145[[#This Row],[Coluna14]]&gt;1.2,"Abusivo","Normal")</f>
        <v>Abusivo</v>
      </c>
      <c r="S50" s="18">
        <f>Tabela1[[#This Row],[Coluna4]]</f>
        <v>71.430000000000007</v>
      </c>
      <c r="T50" s="20">
        <f t="shared" si="1"/>
        <v>0</v>
      </c>
      <c r="U50" s="18">
        <f>Tabela1[[#This Row],[Coluna3]]</f>
        <v>180.58</v>
      </c>
      <c r="V50" s="108">
        <f>Tabela145[[#This Row],[Coluna16]]-Tabela145[[#This Row],[Coluna17]]+Tabela145[[#This Row],[Coluna18]]</f>
        <v>252.01000000000002</v>
      </c>
      <c r="W50" s="18">
        <f>W49+Tabela145[[#This Row],[Coluna19]]</f>
        <v>3180.2070898290499</v>
      </c>
    </row>
    <row r="51" spans="1:23" x14ac:dyDescent="0.25">
      <c r="A51" s="1">
        <v>38</v>
      </c>
      <c r="B51" s="27">
        <f t="shared" si="0"/>
        <v>44206</v>
      </c>
      <c r="C51" s="8">
        <f>H50-L50-Tabela145[[#This Row],[Coluna19]]</f>
        <v>-3652.8341796581026</v>
      </c>
      <c r="D51" s="8">
        <f>Tabela1[[#This Row],[Coluna2]]</f>
        <v>0</v>
      </c>
      <c r="E51" s="19">
        <v>0</v>
      </c>
      <c r="F51" s="8">
        <f>Tabela1[[#This Row],[Coluna32]]</f>
        <v>4.93</v>
      </c>
      <c r="G51" s="91">
        <f t="shared" si="2"/>
        <v>0</v>
      </c>
      <c r="H51" s="8">
        <f>SUM(Tabela145[[#This Row],[Coluna1]:[Coluna4]])</f>
        <v>-3647.9041796581027</v>
      </c>
      <c r="I51" s="8">
        <f>Tabela1[[#This Row],[Coluna6]]</f>
        <v>124.62</v>
      </c>
      <c r="J51" s="9">
        <f>Tabela1[[#This Row],[Coluna7]]</f>
        <v>44206</v>
      </c>
      <c r="K51" s="92">
        <f>Tabela1[[#This Row],[Coluna8]]</f>
        <v>2.7E-2</v>
      </c>
      <c r="L51" s="8">
        <f>Tabela1[[#This Row],[Coluna9]]</f>
        <v>124.62</v>
      </c>
      <c r="M51" s="28">
        <f>Tabela1[[#This Row],[Coluna10]]</f>
        <v>44206</v>
      </c>
      <c r="N51" s="1">
        <f>IF(Tabela145[[#This Row],[Coluna12]]&gt;0,M52-Tabela145[[#This Row],[Coluna10]],Tabela145[[#This Row],[Coluna10]]-Tabela145[[#This Row],[Coluna7]])</f>
        <v>0</v>
      </c>
      <c r="O51" s="18">
        <f>Tabela145[[#This Row],[Coluna5]]-Tabela145[[#This Row],[Coluna9]]</f>
        <v>-3772.5241796581026</v>
      </c>
      <c r="P51" s="20">
        <f>Tabela145[[#This Row],[Coluna12]]*Tabela145[[#This Row],[Coluna14]]/30*Tabela145[[#This Row],[Coluna11]]</f>
        <v>0</v>
      </c>
      <c r="Q51" s="13">
        <f>VLOOKUP(Tabela145[[#This Row],[Coluna7]],'tx média'!A:B,2,TRUE)%</f>
        <v>1.6299999999999999E-2</v>
      </c>
      <c r="R51" s="93" t="str">
        <f>IF(Tabela145[[#This Row],[Coluna8]]/Tabela145[[#This Row],[Coluna14]]&gt;1.2,"Abusivo","Normal")</f>
        <v>Abusivo</v>
      </c>
      <c r="S51" s="18">
        <f>Tabela1[[#This Row],[Coluna4]]</f>
        <v>77.709999999999994</v>
      </c>
      <c r="T51" s="20">
        <f t="shared" si="1"/>
        <v>0</v>
      </c>
      <c r="U51" s="18">
        <f>Tabela1[[#This Row],[Coluna3]]</f>
        <v>0</v>
      </c>
      <c r="V51" s="108">
        <f>Tabela145[[#This Row],[Coluna16]]-Tabela145[[#This Row],[Coluna17]]+Tabela145[[#This Row],[Coluna18]]</f>
        <v>77.709999999999994</v>
      </c>
      <c r="W51" s="18">
        <f>W50+Tabela145[[#This Row],[Coluna19]]</f>
        <v>3257.9170898290499</v>
      </c>
    </row>
    <row r="52" spans="1:23" x14ac:dyDescent="0.25">
      <c r="A52" s="1">
        <v>39</v>
      </c>
      <c r="B52" s="27">
        <f t="shared" si="0"/>
        <v>44237</v>
      </c>
      <c r="C52" s="8">
        <f>H51-L51-Tabela145[[#This Row],[Coluna19]]</f>
        <v>-3849.0641796581026</v>
      </c>
      <c r="D52" s="8">
        <f>Tabela1[[#This Row],[Coluna2]]</f>
        <v>0</v>
      </c>
      <c r="E52" s="19">
        <v>0</v>
      </c>
      <c r="F52" s="8">
        <f>Tabela1[[#This Row],[Coluna32]]</f>
        <v>9.34</v>
      </c>
      <c r="G52" s="91">
        <f t="shared" si="2"/>
        <v>0</v>
      </c>
      <c r="H52" s="8">
        <f>SUM(Tabela145[[#This Row],[Coluna1]:[Coluna4]])</f>
        <v>-3839.7241796581025</v>
      </c>
      <c r="I52" s="8">
        <f>Tabela1[[#This Row],[Coluna6]]</f>
        <v>124.62</v>
      </c>
      <c r="J52" s="9">
        <f>Tabela1[[#This Row],[Coluna7]]</f>
        <v>44237</v>
      </c>
      <c r="K52" s="92">
        <f>Tabela1[[#This Row],[Coluna8]]</f>
        <v>2.7E-2</v>
      </c>
      <c r="L52" s="8">
        <f>Tabela1[[#This Row],[Coluna9]]</f>
        <v>124.62</v>
      </c>
      <c r="M52" s="28">
        <f>Tabela1[[#This Row],[Coluna10]]</f>
        <v>44237</v>
      </c>
      <c r="N52" s="1">
        <f>IF(Tabela145[[#This Row],[Coluna12]]&gt;0,M53-Tabela145[[#This Row],[Coluna10]],Tabela145[[#This Row],[Coluna10]]-Tabela145[[#This Row],[Coluna7]])</f>
        <v>0</v>
      </c>
      <c r="O52" s="18">
        <f>Tabela145[[#This Row],[Coluna5]]-Tabela145[[#This Row],[Coluna9]]</f>
        <v>-3964.3441796581023</v>
      </c>
      <c r="P52" s="20">
        <f>Tabela145[[#This Row],[Coluna12]]*Tabela145[[#This Row],[Coluna14]]/30*Tabela145[[#This Row],[Coluna11]]</f>
        <v>0</v>
      </c>
      <c r="Q52" s="13">
        <f>VLOOKUP(Tabela145[[#This Row],[Coluna7]],'tx média'!A:B,2,TRUE)%</f>
        <v>1.6200000000000003E-2</v>
      </c>
      <c r="R52" s="93" t="str">
        <f>IF(Tabela145[[#This Row],[Coluna8]]/Tabela145[[#This Row],[Coluna14]]&gt;1.2,"Abusivo","Normal")</f>
        <v>Abusivo</v>
      </c>
      <c r="S52" s="18">
        <f>Tabela1[[#This Row],[Coluna4]]</f>
        <v>76.540000000000006</v>
      </c>
      <c r="T52" s="20">
        <f t="shared" si="1"/>
        <v>0</v>
      </c>
      <c r="U52" s="18">
        <f>Tabela1[[#This Row],[Coluna3]]</f>
        <v>0</v>
      </c>
      <c r="V52" s="108">
        <f>Tabela145[[#This Row],[Coluna16]]-Tabela145[[#This Row],[Coluna17]]+Tabela145[[#This Row],[Coluna18]]</f>
        <v>76.540000000000006</v>
      </c>
      <c r="W52" s="18">
        <f>W51+Tabela145[[#This Row],[Coluna19]]</f>
        <v>3334.4570898290499</v>
      </c>
    </row>
    <row r="53" spans="1:23" x14ac:dyDescent="0.25">
      <c r="A53" s="1">
        <v>40</v>
      </c>
      <c r="B53" s="27">
        <f t="shared" si="0"/>
        <v>44265</v>
      </c>
      <c r="C53" s="8">
        <f>H52-L52-Tabela145[[#This Row],[Coluna19]]</f>
        <v>-4032.4941796581024</v>
      </c>
      <c r="D53" s="8">
        <f>Tabela1[[#This Row],[Coluna2]]</f>
        <v>0</v>
      </c>
      <c r="E53" s="19">
        <v>0</v>
      </c>
      <c r="F53" s="8">
        <f>Tabela1[[#This Row],[Coluna32]]</f>
        <v>6.54</v>
      </c>
      <c r="G53" s="91">
        <f t="shared" si="2"/>
        <v>0</v>
      </c>
      <c r="H53" s="50">
        <f>SUM(Tabela145[[#This Row],[Coluna1]:[Coluna4]])</f>
        <v>-4025.9541796581025</v>
      </c>
      <c r="I53" s="8">
        <f>Tabela1[[#This Row],[Coluna6]]</f>
        <v>125.29</v>
      </c>
      <c r="J53" s="9">
        <f>Tabela1[[#This Row],[Coluna7]]</f>
        <v>44265</v>
      </c>
      <c r="K53" s="92">
        <f>Tabela1[[#This Row],[Coluna8]]</f>
        <v>2.7E-2</v>
      </c>
      <c r="L53" s="8">
        <f>Tabela1[[#This Row],[Coluna9]]</f>
        <v>125.29</v>
      </c>
      <c r="M53" s="28">
        <f>Tabela1[[#This Row],[Coluna10]]</f>
        <v>44265</v>
      </c>
      <c r="N53" s="1">
        <f>IF(Tabela145[[#This Row],[Coluna12]]&gt;0,M54-Tabela145[[#This Row],[Coluna10]],Tabela145[[#This Row],[Coluna10]]-Tabela145[[#This Row],[Coluna7]])</f>
        <v>0</v>
      </c>
      <c r="O53" s="18">
        <f>Tabela145[[#This Row],[Coluna5]]-Tabela145[[#This Row],[Coluna9]]</f>
        <v>-4151.2441796581024</v>
      </c>
      <c r="P53" s="20">
        <f>Tabela145[[#This Row],[Coluna12]]*Tabela145[[#This Row],[Coluna14]]/30*Tabela145[[#This Row],[Coluna11]]</f>
        <v>0</v>
      </c>
      <c r="Q53" s="13">
        <f>VLOOKUP(Tabela145[[#This Row],[Coluna7]],'tx média'!A:B,2,TRUE)%</f>
        <v>1.6200000000000003E-2</v>
      </c>
      <c r="R53" s="93" t="str">
        <f>IF(Tabela145[[#This Row],[Coluna8]]/Tabela145[[#This Row],[Coluna14]]&gt;1.2,"Abusivo","Normal")</f>
        <v>Abusivo</v>
      </c>
      <c r="S53" s="18">
        <f>Tabela1[[#This Row],[Coluna4]]</f>
        <v>68.150000000000006</v>
      </c>
      <c r="T53" s="20">
        <f t="shared" si="1"/>
        <v>0</v>
      </c>
      <c r="U53" s="18">
        <f>Tabela1[[#This Row],[Coluna3]]</f>
        <v>0</v>
      </c>
      <c r="V53" s="108">
        <f>Tabela145[[#This Row],[Coluna16]]-Tabela145[[#This Row],[Coluna17]]+Tabela145[[#This Row],[Coluna18]]</f>
        <v>68.150000000000006</v>
      </c>
      <c r="W53" s="51">
        <f>W52+Tabela145[[#This Row],[Coluna19]]</f>
        <v>3402.60708982905</v>
      </c>
    </row>
    <row r="54" spans="1:23" x14ac:dyDescent="0.25">
      <c r="M54" s="15"/>
    </row>
    <row r="55" spans="1:23" x14ac:dyDescent="0.25">
      <c r="G55" s="18"/>
      <c r="H55" s="18"/>
    </row>
    <row r="69" spans="5:7" x14ac:dyDescent="0.25">
      <c r="E69" s="15"/>
      <c r="F69" s="15"/>
    </row>
    <row r="70" spans="5:7" x14ac:dyDescent="0.25">
      <c r="E70" s="15"/>
      <c r="F70" s="15"/>
    </row>
    <row r="71" spans="5:7" x14ac:dyDescent="0.25">
      <c r="G71" s="56"/>
    </row>
    <row r="72" spans="5:7" x14ac:dyDescent="0.25">
      <c r="G72" s="20"/>
    </row>
    <row r="73" spans="5:7" x14ac:dyDescent="0.25">
      <c r="G73" s="20"/>
    </row>
    <row r="74" spans="5:7" x14ac:dyDescent="0.25">
      <c r="G74" s="20"/>
    </row>
  </sheetData>
  <mergeCells count="7">
    <mergeCell ref="S11:W11"/>
    <mergeCell ref="C2:D2"/>
    <mergeCell ref="C3:D3"/>
    <mergeCell ref="B5:M5"/>
    <mergeCell ref="B11:M11"/>
    <mergeCell ref="N11:P11"/>
    <mergeCell ref="Q11:R11"/>
  </mergeCells>
  <pageMargins left="0.511811024" right="0.511811024" top="0.78740157499999996" bottom="0.78740157499999996" header="0.31496062000000002" footer="0.31496062000000002"/>
  <pageSetup paperSize="9" scale="53" orientation="portrait" r:id="rId1"/>
  <headerFooter>
    <oddHeader>&amp;R&amp;"Cambria,Negrito"&amp;14Especializado em Perícia Bancária
Diego Lima | CRC-BA 04386/O-6
(Judicial e Extrajudicial)</oddHeader>
    <oddFooter>&amp;C&amp;"Cambria,Negrito"&amp;16ENDEREÇO DO SEU ESCRITÓRIO / E-MAIL / TELEFONE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6FC-443D-4F91-B1CF-806A5A7D5CE2}">
  <dimension ref="A1:B134"/>
  <sheetViews>
    <sheetView topLeftCell="A70" workbookViewId="0">
      <selection activeCell="A82" sqref="A82:B82"/>
    </sheetView>
  </sheetViews>
  <sheetFormatPr defaultRowHeight="15" x14ac:dyDescent="0.25"/>
  <sheetData>
    <row r="1" spans="1:2" x14ac:dyDescent="0.25">
      <c r="A1" t="s">
        <v>14</v>
      </c>
      <c r="B1" t="s">
        <v>34</v>
      </c>
    </row>
    <row r="2" spans="1:2" x14ac:dyDescent="0.25">
      <c r="A2" s="3">
        <v>40603</v>
      </c>
      <c r="B2">
        <v>2.31</v>
      </c>
    </row>
    <row r="3" spans="1:2" x14ac:dyDescent="0.25">
      <c r="A3" s="3">
        <v>40634</v>
      </c>
      <c r="B3">
        <v>2.33</v>
      </c>
    </row>
    <row r="4" spans="1:2" x14ac:dyDescent="0.25">
      <c r="A4" s="3">
        <v>40664</v>
      </c>
      <c r="B4">
        <v>2.35</v>
      </c>
    </row>
    <row r="5" spans="1:2" x14ac:dyDescent="0.25">
      <c r="A5" s="3">
        <v>40695</v>
      </c>
      <c r="B5">
        <v>2.34</v>
      </c>
    </row>
    <row r="6" spans="1:2" x14ac:dyDescent="0.25">
      <c r="A6" s="3">
        <v>40725</v>
      </c>
      <c r="B6">
        <v>2.33</v>
      </c>
    </row>
    <row r="7" spans="1:2" x14ac:dyDescent="0.25">
      <c r="A7" s="3">
        <v>40756</v>
      </c>
      <c r="B7">
        <v>2.33</v>
      </c>
    </row>
    <row r="8" spans="1:2" x14ac:dyDescent="0.25">
      <c r="A8" s="3">
        <v>40787</v>
      </c>
      <c r="B8">
        <v>2.33</v>
      </c>
    </row>
    <row r="9" spans="1:2" x14ac:dyDescent="0.25">
      <c r="A9" s="3">
        <v>40817</v>
      </c>
      <c r="B9">
        <v>2.3199999999999998</v>
      </c>
    </row>
    <row r="10" spans="1:2" x14ac:dyDescent="0.25">
      <c r="A10" s="3">
        <v>40848</v>
      </c>
      <c r="B10">
        <v>2.2999999999999998</v>
      </c>
    </row>
    <row r="11" spans="1:2" x14ac:dyDescent="0.25">
      <c r="A11" s="3">
        <v>40878</v>
      </c>
      <c r="B11">
        <v>2.25</v>
      </c>
    </row>
    <row r="12" spans="1:2" x14ac:dyDescent="0.25">
      <c r="A12" s="3">
        <v>40909</v>
      </c>
      <c r="B12">
        <v>2.2799999999999998</v>
      </c>
    </row>
    <row r="13" spans="1:2" x14ac:dyDescent="0.25">
      <c r="A13" s="3">
        <v>40940</v>
      </c>
      <c r="B13">
        <v>2.29</v>
      </c>
    </row>
    <row r="14" spans="1:2" x14ac:dyDescent="0.25">
      <c r="A14" s="3">
        <v>40969</v>
      </c>
      <c r="B14">
        <v>2.29</v>
      </c>
    </row>
    <row r="15" spans="1:2" x14ac:dyDescent="0.25">
      <c r="A15" s="3">
        <v>41000</v>
      </c>
      <c r="B15">
        <v>2.2000000000000002</v>
      </c>
    </row>
    <row r="16" spans="1:2" x14ac:dyDescent="0.25">
      <c r="A16" s="3">
        <v>41030</v>
      </c>
      <c r="B16">
        <v>2.12</v>
      </c>
    </row>
    <row r="17" spans="1:2" x14ac:dyDescent="0.25">
      <c r="A17" s="3">
        <v>41061</v>
      </c>
      <c r="B17">
        <v>2.0299999999999998</v>
      </c>
    </row>
    <row r="18" spans="1:2" x14ac:dyDescent="0.25">
      <c r="A18" s="3">
        <v>41091</v>
      </c>
      <c r="B18">
        <v>2.02</v>
      </c>
    </row>
    <row r="19" spans="1:2" x14ac:dyDescent="0.25">
      <c r="A19" s="3">
        <v>41122</v>
      </c>
      <c r="B19">
        <v>2.0099999999999998</v>
      </c>
    </row>
    <row r="20" spans="1:2" x14ac:dyDescent="0.25">
      <c r="A20" s="3">
        <v>41153</v>
      </c>
      <c r="B20">
        <v>2.0299999999999998</v>
      </c>
    </row>
    <row r="21" spans="1:2" x14ac:dyDescent="0.25">
      <c r="A21" s="3">
        <v>41183</v>
      </c>
      <c r="B21">
        <v>2</v>
      </c>
    </row>
    <row r="22" spans="1:2" x14ac:dyDescent="0.25">
      <c r="A22" s="3">
        <v>41214</v>
      </c>
      <c r="B22">
        <v>1.99</v>
      </c>
    </row>
    <row r="23" spans="1:2" x14ac:dyDescent="0.25">
      <c r="A23" s="3">
        <v>41244</v>
      </c>
      <c r="B23">
        <v>1.99</v>
      </c>
    </row>
    <row r="24" spans="1:2" x14ac:dyDescent="0.25">
      <c r="A24" s="3">
        <v>41275</v>
      </c>
      <c r="B24">
        <v>2.02</v>
      </c>
    </row>
    <row r="25" spans="1:2" x14ac:dyDescent="0.25">
      <c r="A25" s="3">
        <v>41306</v>
      </c>
      <c r="B25">
        <v>2.02</v>
      </c>
    </row>
    <row r="26" spans="1:2" x14ac:dyDescent="0.25">
      <c r="A26" s="3">
        <v>41334</v>
      </c>
      <c r="B26">
        <v>2</v>
      </c>
    </row>
    <row r="27" spans="1:2" x14ac:dyDescent="0.25">
      <c r="A27" s="3">
        <v>41365</v>
      </c>
      <c r="B27">
        <v>1.99</v>
      </c>
    </row>
    <row r="28" spans="1:2" x14ac:dyDescent="0.25">
      <c r="A28" s="3">
        <v>41395</v>
      </c>
      <c r="B28">
        <v>1.99</v>
      </c>
    </row>
    <row r="29" spans="1:2" x14ac:dyDescent="0.25">
      <c r="A29" s="3">
        <v>41426</v>
      </c>
      <c r="B29">
        <v>1.99</v>
      </c>
    </row>
    <row r="30" spans="1:2" x14ac:dyDescent="0.25">
      <c r="A30" s="3">
        <v>41456</v>
      </c>
      <c r="B30">
        <v>2</v>
      </c>
    </row>
    <row r="31" spans="1:2" x14ac:dyDescent="0.25">
      <c r="A31" s="3">
        <v>41487</v>
      </c>
      <c r="B31">
        <v>2.0099999999999998</v>
      </c>
    </row>
    <row r="32" spans="1:2" x14ac:dyDescent="0.25">
      <c r="A32" s="3">
        <v>41518</v>
      </c>
      <c r="B32">
        <v>2.0299999999999998</v>
      </c>
    </row>
    <row r="33" spans="1:2" x14ac:dyDescent="0.25">
      <c r="A33" s="3">
        <v>41548</v>
      </c>
      <c r="B33">
        <v>2.0299999999999998</v>
      </c>
    </row>
    <row r="34" spans="1:2" x14ac:dyDescent="0.25">
      <c r="A34" s="3">
        <v>41579</v>
      </c>
      <c r="B34">
        <v>2.0299999999999998</v>
      </c>
    </row>
    <row r="35" spans="1:2" x14ac:dyDescent="0.25">
      <c r="A35" s="3">
        <v>41609</v>
      </c>
      <c r="B35">
        <v>2.0299999999999998</v>
      </c>
    </row>
    <row r="36" spans="1:2" x14ac:dyDescent="0.25">
      <c r="A36" s="3">
        <v>41640</v>
      </c>
      <c r="B36">
        <v>2.04</v>
      </c>
    </row>
    <row r="37" spans="1:2" x14ac:dyDescent="0.25">
      <c r="A37" s="3">
        <v>41671</v>
      </c>
      <c r="B37">
        <v>2.0699999999999998</v>
      </c>
    </row>
    <row r="38" spans="1:2" x14ac:dyDescent="0.25">
      <c r="A38" s="3">
        <v>41699</v>
      </c>
      <c r="B38">
        <v>2.06</v>
      </c>
    </row>
    <row r="39" spans="1:2" x14ac:dyDescent="0.25">
      <c r="A39" s="3">
        <v>41730</v>
      </c>
      <c r="B39">
        <v>2.06</v>
      </c>
    </row>
    <row r="40" spans="1:2" x14ac:dyDescent="0.25">
      <c r="A40" s="3">
        <v>41760</v>
      </c>
      <c r="B40">
        <v>2.0699999999999998</v>
      </c>
    </row>
    <row r="41" spans="1:2" x14ac:dyDescent="0.25">
      <c r="A41" s="3">
        <v>41791</v>
      </c>
      <c r="B41">
        <v>2.0699999999999998</v>
      </c>
    </row>
    <row r="42" spans="1:2" x14ac:dyDescent="0.25">
      <c r="A42" s="3">
        <v>41821</v>
      </c>
      <c r="B42">
        <v>2.0699999999999998</v>
      </c>
    </row>
    <row r="43" spans="1:2" x14ac:dyDescent="0.25">
      <c r="A43" s="3">
        <v>41852</v>
      </c>
      <c r="B43">
        <v>2.0699999999999998</v>
      </c>
    </row>
    <row r="44" spans="1:2" x14ac:dyDescent="0.25">
      <c r="A44" s="3">
        <v>41883</v>
      </c>
      <c r="B44">
        <v>2.0699999999999998</v>
      </c>
    </row>
    <row r="45" spans="1:2" x14ac:dyDescent="0.25">
      <c r="A45" s="3">
        <v>41913</v>
      </c>
      <c r="B45">
        <v>2.0699999999999998</v>
      </c>
    </row>
    <row r="46" spans="1:2" x14ac:dyDescent="0.25">
      <c r="A46" s="3">
        <v>41944</v>
      </c>
      <c r="B46">
        <v>2.0699999999999998</v>
      </c>
    </row>
    <row r="47" spans="1:2" x14ac:dyDescent="0.25">
      <c r="A47" s="3">
        <v>41974</v>
      </c>
      <c r="B47">
        <v>2.08</v>
      </c>
    </row>
    <row r="48" spans="1:2" x14ac:dyDescent="0.25">
      <c r="A48" s="3">
        <v>42005</v>
      </c>
      <c r="B48">
        <v>2.1</v>
      </c>
    </row>
    <row r="49" spans="1:2" x14ac:dyDescent="0.25">
      <c r="A49" s="3">
        <v>42036</v>
      </c>
      <c r="B49">
        <v>2.12</v>
      </c>
    </row>
    <row r="50" spans="1:2" x14ac:dyDescent="0.25">
      <c r="A50" s="3">
        <v>42064</v>
      </c>
      <c r="B50">
        <v>2.11</v>
      </c>
    </row>
    <row r="51" spans="1:2" x14ac:dyDescent="0.25">
      <c r="A51" s="3">
        <v>42095</v>
      </c>
      <c r="B51">
        <v>2.11</v>
      </c>
    </row>
    <row r="52" spans="1:2" x14ac:dyDescent="0.25">
      <c r="A52" s="3">
        <v>42125</v>
      </c>
      <c r="B52">
        <v>2.1</v>
      </c>
    </row>
    <row r="53" spans="1:2" x14ac:dyDescent="0.25">
      <c r="A53" s="3">
        <v>42156</v>
      </c>
      <c r="B53">
        <v>2.08</v>
      </c>
    </row>
    <row r="54" spans="1:2" x14ac:dyDescent="0.25">
      <c r="A54" s="3">
        <v>42186</v>
      </c>
      <c r="B54">
        <v>2.08</v>
      </c>
    </row>
    <row r="55" spans="1:2" x14ac:dyDescent="0.25">
      <c r="A55" s="3">
        <v>42217</v>
      </c>
      <c r="B55">
        <v>2.09</v>
      </c>
    </row>
    <row r="56" spans="1:2" x14ac:dyDescent="0.25">
      <c r="A56" s="3">
        <v>42248</v>
      </c>
      <c r="B56">
        <v>2.09</v>
      </c>
    </row>
    <row r="57" spans="1:2" x14ac:dyDescent="0.25">
      <c r="A57" s="3">
        <v>42278</v>
      </c>
      <c r="B57">
        <v>2.1</v>
      </c>
    </row>
    <row r="58" spans="1:2" x14ac:dyDescent="0.25">
      <c r="A58" s="3">
        <v>42309</v>
      </c>
      <c r="B58">
        <v>2.21</v>
      </c>
    </row>
    <row r="59" spans="1:2" x14ac:dyDescent="0.25">
      <c r="A59" s="3">
        <v>42339</v>
      </c>
      <c r="B59">
        <v>2.27</v>
      </c>
    </row>
    <row r="60" spans="1:2" x14ac:dyDescent="0.25">
      <c r="A60" s="3">
        <v>42370</v>
      </c>
      <c r="B60">
        <v>2.2999999999999998</v>
      </c>
    </row>
    <row r="61" spans="1:2" x14ac:dyDescent="0.25">
      <c r="A61" s="3">
        <v>42401</v>
      </c>
      <c r="B61">
        <v>2.31</v>
      </c>
    </row>
    <row r="62" spans="1:2" x14ac:dyDescent="0.25">
      <c r="A62" s="3">
        <v>42430</v>
      </c>
      <c r="B62">
        <v>2.29</v>
      </c>
    </row>
    <row r="63" spans="1:2" x14ac:dyDescent="0.25">
      <c r="A63" s="3">
        <v>42461</v>
      </c>
      <c r="B63">
        <v>2.27</v>
      </c>
    </row>
    <row r="64" spans="1:2" x14ac:dyDescent="0.25">
      <c r="A64" s="3">
        <v>42491</v>
      </c>
      <c r="B64">
        <v>2.25</v>
      </c>
    </row>
    <row r="65" spans="1:2" x14ac:dyDescent="0.25">
      <c r="A65" s="3">
        <v>42522</v>
      </c>
      <c r="B65">
        <v>2.23</v>
      </c>
    </row>
    <row r="66" spans="1:2" x14ac:dyDescent="0.25">
      <c r="A66" s="3">
        <v>42552</v>
      </c>
      <c r="B66">
        <v>2.2200000000000002</v>
      </c>
    </row>
    <row r="67" spans="1:2" x14ac:dyDescent="0.25">
      <c r="A67" s="3">
        <v>42583</v>
      </c>
      <c r="B67">
        <v>2.23</v>
      </c>
    </row>
    <row r="68" spans="1:2" x14ac:dyDescent="0.25">
      <c r="A68" s="3">
        <v>42614</v>
      </c>
      <c r="B68">
        <v>2.23</v>
      </c>
    </row>
    <row r="69" spans="1:2" x14ac:dyDescent="0.25">
      <c r="A69" s="3">
        <v>42644</v>
      </c>
      <c r="B69">
        <v>2.23</v>
      </c>
    </row>
    <row r="70" spans="1:2" x14ac:dyDescent="0.25">
      <c r="A70" s="3">
        <v>42675</v>
      </c>
      <c r="B70">
        <v>2.2400000000000002</v>
      </c>
    </row>
    <row r="71" spans="1:2" x14ac:dyDescent="0.25">
      <c r="A71" s="3">
        <v>42705</v>
      </c>
      <c r="B71">
        <v>2.23</v>
      </c>
    </row>
    <row r="72" spans="1:2" x14ac:dyDescent="0.25">
      <c r="A72" s="3">
        <v>42736</v>
      </c>
      <c r="B72">
        <v>2.2599999999999998</v>
      </c>
    </row>
    <row r="73" spans="1:2" x14ac:dyDescent="0.25">
      <c r="A73" s="3">
        <v>42767</v>
      </c>
      <c r="B73">
        <v>2.2599999999999998</v>
      </c>
    </row>
    <row r="74" spans="1:2" x14ac:dyDescent="0.25">
      <c r="A74" s="3">
        <v>42795</v>
      </c>
      <c r="B74">
        <v>2.2400000000000002</v>
      </c>
    </row>
    <row r="75" spans="1:2" x14ac:dyDescent="0.25">
      <c r="A75" s="3">
        <v>42826</v>
      </c>
      <c r="B75">
        <v>2.1</v>
      </c>
    </row>
    <row r="76" spans="1:2" x14ac:dyDescent="0.25">
      <c r="A76" s="3">
        <v>42856</v>
      </c>
      <c r="B76">
        <v>2.0699999999999998</v>
      </c>
    </row>
    <row r="77" spans="1:2" x14ac:dyDescent="0.25">
      <c r="A77" s="3">
        <v>42887</v>
      </c>
      <c r="B77">
        <v>2.06</v>
      </c>
    </row>
    <row r="78" spans="1:2" x14ac:dyDescent="0.25">
      <c r="A78" s="3">
        <v>42917</v>
      </c>
      <c r="B78">
        <v>2.06</v>
      </c>
    </row>
    <row r="79" spans="1:2" x14ac:dyDescent="0.25">
      <c r="A79" s="3">
        <v>42948</v>
      </c>
      <c r="B79">
        <v>2.0499999999999998</v>
      </c>
    </row>
    <row r="80" spans="1:2" x14ac:dyDescent="0.25">
      <c r="A80" s="3">
        <v>42979</v>
      </c>
      <c r="B80">
        <v>2.04</v>
      </c>
    </row>
    <row r="81" spans="1:2" x14ac:dyDescent="0.25">
      <c r="A81" s="3">
        <v>43009</v>
      </c>
      <c r="B81">
        <v>2.0299999999999998</v>
      </c>
    </row>
    <row r="82" spans="1:2" x14ac:dyDescent="0.25">
      <c r="A82" s="3">
        <v>43040</v>
      </c>
      <c r="B82">
        <v>2</v>
      </c>
    </row>
    <row r="83" spans="1:2" x14ac:dyDescent="0.25">
      <c r="A83" s="3">
        <v>43070</v>
      </c>
      <c r="B83">
        <v>2</v>
      </c>
    </row>
    <row r="84" spans="1:2" x14ac:dyDescent="0.25">
      <c r="A84" s="3">
        <v>43101</v>
      </c>
      <c r="B84">
        <v>2</v>
      </c>
    </row>
    <row r="85" spans="1:2" x14ac:dyDescent="0.25">
      <c r="A85" s="3">
        <v>43132</v>
      </c>
      <c r="B85">
        <v>2.0099999999999998</v>
      </c>
    </row>
    <row r="86" spans="1:2" x14ac:dyDescent="0.25">
      <c r="A86" s="3">
        <v>43160</v>
      </c>
      <c r="B86">
        <v>2</v>
      </c>
    </row>
    <row r="87" spans="1:2" x14ac:dyDescent="0.25">
      <c r="A87" s="3">
        <v>43191</v>
      </c>
      <c r="B87">
        <v>1.98</v>
      </c>
    </row>
    <row r="88" spans="1:2" x14ac:dyDescent="0.25">
      <c r="A88" s="3">
        <v>43221</v>
      </c>
      <c r="B88">
        <v>1.96</v>
      </c>
    </row>
    <row r="89" spans="1:2" x14ac:dyDescent="0.25">
      <c r="A89" s="3">
        <v>43252</v>
      </c>
      <c r="B89">
        <v>1.93</v>
      </c>
    </row>
    <row r="90" spans="1:2" x14ac:dyDescent="0.25">
      <c r="A90" s="3">
        <v>43282</v>
      </c>
      <c r="B90">
        <v>1.91</v>
      </c>
    </row>
    <row r="91" spans="1:2" x14ac:dyDescent="0.25">
      <c r="A91" s="3">
        <v>43313</v>
      </c>
      <c r="B91">
        <v>1.9</v>
      </c>
    </row>
    <row r="92" spans="1:2" x14ac:dyDescent="0.25">
      <c r="A92" s="3">
        <v>43344</v>
      </c>
      <c r="B92">
        <v>1.89</v>
      </c>
    </row>
    <row r="93" spans="1:2" x14ac:dyDescent="0.25">
      <c r="A93" s="3">
        <v>43374</v>
      </c>
      <c r="B93">
        <v>1.88</v>
      </c>
    </row>
    <row r="94" spans="1:2" x14ac:dyDescent="0.25">
      <c r="A94" s="3">
        <v>43405</v>
      </c>
      <c r="B94">
        <v>1.88</v>
      </c>
    </row>
    <row r="95" spans="1:2" x14ac:dyDescent="0.25">
      <c r="A95" s="3">
        <v>43435</v>
      </c>
      <c r="B95">
        <v>1.9</v>
      </c>
    </row>
    <row r="96" spans="1:2" x14ac:dyDescent="0.25">
      <c r="A96" s="3">
        <v>43466</v>
      </c>
      <c r="B96">
        <v>1.9</v>
      </c>
    </row>
    <row r="97" spans="1:2" x14ac:dyDescent="0.25">
      <c r="A97" s="3">
        <v>43497</v>
      </c>
      <c r="B97">
        <v>1.9</v>
      </c>
    </row>
    <row r="98" spans="1:2" x14ac:dyDescent="0.25">
      <c r="A98" s="3">
        <v>43525</v>
      </c>
      <c r="B98">
        <v>1.88</v>
      </c>
    </row>
    <row r="99" spans="1:2" x14ac:dyDescent="0.25">
      <c r="A99" s="3">
        <v>43556</v>
      </c>
      <c r="B99">
        <v>1.85</v>
      </c>
    </row>
    <row r="100" spans="1:2" x14ac:dyDescent="0.25">
      <c r="A100" s="3">
        <v>43586</v>
      </c>
      <c r="B100">
        <v>1.84</v>
      </c>
    </row>
    <row r="101" spans="1:2" x14ac:dyDescent="0.25">
      <c r="A101" s="3">
        <v>43617</v>
      </c>
      <c r="B101">
        <v>1.81</v>
      </c>
    </row>
    <row r="102" spans="1:2" x14ac:dyDescent="0.25">
      <c r="A102" s="3">
        <v>43647</v>
      </c>
      <c r="B102">
        <v>1.8</v>
      </c>
    </row>
    <row r="103" spans="1:2" x14ac:dyDescent="0.25">
      <c r="A103" s="3">
        <v>43678</v>
      </c>
      <c r="B103">
        <v>1.78</v>
      </c>
    </row>
    <row r="104" spans="1:2" x14ac:dyDescent="0.25">
      <c r="A104" s="3">
        <v>43709</v>
      </c>
      <c r="B104">
        <v>1.76</v>
      </c>
    </row>
    <row r="105" spans="1:2" x14ac:dyDescent="0.25">
      <c r="A105" s="3">
        <v>43739</v>
      </c>
      <c r="B105">
        <v>1.73</v>
      </c>
    </row>
    <row r="106" spans="1:2" x14ac:dyDescent="0.25">
      <c r="A106" s="3">
        <v>43770</v>
      </c>
      <c r="B106">
        <v>1.72</v>
      </c>
    </row>
    <row r="107" spans="1:2" x14ac:dyDescent="0.25">
      <c r="A107" s="3">
        <v>43800</v>
      </c>
      <c r="B107">
        <v>1.69</v>
      </c>
    </row>
    <row r="108" spans="1:2" x14ac:dyDescent="0.25">
      <c r="A108" s="3">
        <v>43831</v>
      </c>
      <c r="B108">
        <v>1.76</v>
      </c>
    </row>
    <row r="109" spans="1:2" x14ac:dyDescent="0.25">
      <c r="A109" s="3">
        <v>43862</v>
      </c>
      <c r="B109">
        <v>1.78</v>
      </c>
    </row>
    <row r="110" spans="1:2" x14ac:dyDescent="0.25">
      <c r="A110" s="3">
        <v>43891</v>
      </c>
      <c r="B110">
        <v>1.72</v>
      </c>
    </row>
    <row r="111" spans="1:2" x14ac:dyDescent="0.25">
      <c r="A111" s="3">
        <v>43922</v>
      </c>
      <c r="B111">
        <v>1.64</v>
      </c>
    </row>
    <row r="112" spans="1:2" x14ac:dyDescent="0.25">
      <c r="A112" s="3">
        <v>43952</v>
      </c>
      <c r="B112">
        <v>1.63</v>
      </c>
    </row>
    <row r="113" spans="1:2" x14ac:dyDescent="0.25">
      <c r="A113" s="3">
        <v>43983</v>
      </c>
      <c r="B113">
        <v>1.62</v>
      </c>
    </row>
    <row r="114" spans="1:2" x14ac:dyDescent="0.25">
      <c r="A114" s="3">
        <v>44013</v>
      </c>
      <c r="B114">
        <v>1.56</v>
      </c>
    </row>
    <row r="115" spans="1:2" x14ac:dyDescent="0.25">
      <c r="A115" s="3">
        <v>44044</v>
      </c>
      <c r="B115">
        <v>1.56</v>
      </c>
    </row>
    <row r="116" spans="1:2" x14ac:dyDescent="0.25">
      <c r="A116" s="3">
        <v>44075</v>
      </c>
      <c r="B116">
        <v>1.55</v>
      </c>
    </row>
    <row r="117" spans="1:2" x14ac:dyDescent="0.25">
      <c r="A117" s="3">
        <v>44105</v>
      </c>
      <c r="B117">
        <v>1.65</v>
      </c>
    </row>
    <row r="118" spans="1:2" x14ac:dyDescent="0.25">
      <c r="A118" s="3">
        <v>44136</v>
      </c>
      <c r="B118">
        <v>1.63</v>
      </c>
    </row>
    <row r="119" spans="1:2" x14ac:dyDescent="0.25">
      <c r="A119" s="3">
        <v>44166</v>
      </c>
      <c r="B119">
        <v>1.6</v>
      </c>
    </row>
    <row r="120" spans="1:2" x14ac:dyDescent="0.25">
      <c r="A120" s="3">
        <v>44197</v>
      </c>
      <c r="B120">
        <v>1.63</v>
      </c>
    </row>
    <row r="121" spans="1:2" x14ac:dyDescent="0.25">
      <c r="A121" s="3">
        <v>44228</v>
      </c>
      <c r="B121">
        <v>1.62</v>
      </c>
    </row>
    <row r="122" spans="1:2" x14ac:dyDescent="0.25">
      <c r="A122" s="3">
        <v>44256</v>
      </c>
      <c r="B122">
        <v>1.62</v>
      </c>
    </row>
    <row r="123" spans="1:2" x14ac:dyDescent="0.25">
      <c r="A123" s="3">
        <v>44287</v>
      </c>
      <c r="B123">
        <v>1.66</v>
      </c>
    </row>
    <row r="124" spans="1:2" x14ac:dyDescent="0.25">
      <c r="A124" s="3">
        <v>44317</v>
      </c>
      <c r="B124">
        <v>1.61</v>
      </c>
    </row>
    <row r="125" spans="1:2" x14ac:dyDescent="0.25">
      <c r="A125" s="3">
        <v>44348</v>
      </c>
      <c r="B125">
        <v>1.6</v>
      </c>
    </row>
    <row r="126" spans="1:2" x14ac:dyDescent="0.25">
      <c r="A126" s="3">
        <v>44378</v>
      </c>
      <c r="B126">
        <v>1.57</v>
      </c>
    </row>
    <row r="127" spans="1:2" x14ac:dyDescent="0.25">
      <c r="A127" s="3">
        <v>44409</v>
      </c>
      <c r="B127">
        <v>1.56</v>
      </c>
    </row>
    <row r="128" spans="1:2" x14ac:dyDescent="0.25">
      <c r="A128" s="3">
        <v>44440</v>
      </c>
      <c r="B128">
        <v>1.56</v>
      </c>
    </row>
    <row r="129" spans="1:2" x14ac:dyDescent="0.25">
      <c r="A129" s="3">
        <v>44470</v>
      </c>
      <c r="B129">
        <v>1.57</v>
      </c>
    </row>
    <row r="130" spans="1:2" x14ac:dyDescent="0.25">
      <c r="A130" s="3">
        <v>44501</v>
      </c>
      <c r="B130">
        <v>1.62</v>
      </c>
    </row>
    <row r="131" spans="1:2" x14ac:dyDescent="0.25">
      <c r="A131" s="3">
        <v>44531</v>
      </c>
      <c r="B131">
        <v>1.73</v>
      </c>
    </row>
    <row r="132" spans="1:2" x14ac:dyDescent="0.25">
      <c r="A132" s="3">
        <v>44562</v>
      </c>
      <c r="B132">
        <v>1.91</v>
      </c>
    </row>
    <row r="133" spans="1:2" x14ac:dyDescent="0.25">
      <c r="A133" s="3">
        <v>44593</v>
      </c>
      <c r="B133">
        <v>1.87</v>
      </c>
    </row>
    <row r="134" spans="1:2" x14ac:dyDescent="0.25">
      <c r="A134" t="s">
        <v>13</v>
      </c>
      <c r="B134" t="s">
        <v>12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AULA RMC</vt:lpstr>
      <vt:lpstr>DADOS EXTRAÍDOS</vt:lpstr>
      <vt:lpstr>AP01</vt:lpstr>
      <vt:lpstr>AP01 EVO</vt:lpstr>
      <vt:lpstr>AP01 EVO dobro</vt:lpstr>
      <vt:lpstr>tx média</vt:lpstr>
      <vt:lpstr>'AP01'!Area_de_impressao</vt:lpstr>
      <vt:lpstr>'AP01 EVO'!Area_de_impressao</vt:lpstr>
      <vt:lpstr>'AP01 EVO dobro'!Area_de_impressao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Nascimento Santos Lima</dc:creator>
  <cp:lastModifiedBy>Diego Nascimento Santos Lima</cp:lastModifiedBy>
  <cp:lastPrinted>2021-09-07T23:38:13Z</cp:lastPrinted>
  <dcterms:created xsi:type="dcterms:W3CDTF">2021-02-04T23:42:35Z</dcterms:created>
  <dcterms:modified xsi:type="dcterms:W3CDTF">2022-04-30T13:25:34Z</dcterms:modified>
</cp:coreProperties>
</file>