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/Aula 4.4/"/>
    </mc:Choice>
  </mc:AlternateContent>
  <xr:revisionPtr revIDLastSave="39" documentId="8_{CA27DCB7-DA03-468E-9050-244111BDE0B8}" xr6:coauthVersionLast="47" xr6:coauthVersionMax="47" xr10:uidLastSave="{28268048-A4BC-4A02-8629-F1D98E18D582}"/>
  <bookViews>
    <workbookView xWindow="38280" yWindow="-120" windowWidth="29040" windowHeight="15840" tabRatio="929" xr2:uid="{BBEB210E-173F-4BA2-B17B-62EC44033815}"/>
  </bookViews>
  <sheets>
    <sheet name="ORÇAMENTO GERAL" sheetId="16" r:id="rId1"/>
    <sheet name="Aux2" sheetId="15" r:id="rId2"/>
    <sheet name="FLUXO DE CAIXA" sheetId="11" r:id="rId3"/>
    <sheet name="Aux 1" sheetId="29" r:id="rId4"/>
    <sheet name="DASHBOARD" sheetId="9" state="hidden" r:id="rId5"/>
  </sheets>
  <definedNames>
    <definedName name="_xlnm._FilterDatabase" localSheetId="0" hidden="1">'ORÇAMENTO GERAL'!$A$1:$N$210</definedName>
  </definedNames>
  <calcPr calcId="191029"/>
  <pivotCaches>
    <pivotCache cacheId="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1" l="1"/>
  <c r="W49" i="11"/>
  <c r="W48" i="11"/>
  <c r="W47" i="11"/>
  <c r="W56" i="11"/>
  <c r="W55" i="11"/>
  <c r="W54" i="11"/>
  <c r="W53" i="11"/>
  <c r="E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D45" i="11"/>
  <c r="G18" i="15"/>
  <c r="I18" i="15"/>
  <c r="J18" i="15"/>
  <c r="K18" i="15"/>
  <c r="L18" i="15"/>
  <c r="M18" i="15"/>
  <c r="N18" i="15"/>
  <c r="O18" i="15"/>
  <c r="P18" i="15"/>
  <c r="H12" i="15"/>
  <c r="H18" i="15" s="1"/>
  <c r="F11" i="15"/>
  <c r="F18" i="15" s="1"/>
  <c r="E55" i="11"/>
  <c r="N22" i="16" l="1"/>
  <c r="N76" i="16"/>
  <c r="N10" i="16"/>
  <c r="N56" i="16"/>
  <c r="N21" i="16"/>
  <c r="N69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8" i="16"/>
  <c r="N189" i="16"/>
  <c r="N183" i="16"/>
  <c r="N182" i="16"/>
  <c r="N181" i="16"/>
  <c r="N180" i="16"/>
  <c r="N179" i="16"/>
  <c r="N172" i="16"/>
  <c r="N171" i="16"/>
  <c r="N160" i="16"/>
  <c r="N159" i="16"/>
  <c r="N158" i="16"/>
  <c r="N157" i="16"/>
  <c r="N156" i="16"/>
  <c r="N154" i="16"/>
  <c r="N153" i="16"/>
  <c r="N152" i="16"/>
  <c r="N150" i="16"/>
  <c r="N140" i="16"/>
  <c r="N139" i="16"/>
  <c r="N138" i="16"/>
  <c r="N137" i="16"/>
  <c r="N135" i="16"/>
  <c r="N134" i="16"/>
  <c r="N133" i="16"/>
  <c r="N131" i="16"/>
  <c r="N130" i="16"/>
  <c r="N129" i="16"/>
  <c r="N128" i="16"/>
  <c r="N127" i="16"/>
  <c r="N126" i="16"/>
  <c r="N125" i="16"/>
  <c r="N124" i="16"/>
  <c r="N123" i="16"/>
  <c r="N122" i="16"/>
  <c r="E49" i="11"/>
  <c r="J53" i="11"/>
  <c r="W52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F45" i="11" s="1"/>
  <c r="D50" i="11"/>
  <c r="I189" i="16"/>
  <c r="I187" i="16" s="1"/>
  <c r="I186" i="16"/>
  <c r="I185" i="16"/>
  <c r="I183" i="16"/>
  <c r="I182" i="16"/>
  <c r="I181" i="16"/>
  <c r="I180" i="16"/>
  <c r="I179" i="16"/>
  <c r="I177" i="16"/>
  <c r="I176" i="16"/>
  <c r="I175" i="16"/>
  <c r="I173" i="16"/>
  <c r="I172" i="16"/>
  <c r="I171" i="16"/>
  <c r="H169" i="16"/>
  <c r="I169" i="16" s="1"/>
  <c r="I168" i="16" s="1"/>
  <c r="H167" i="16"/>
  <c r="I167" i="16" s="1"/>
  <c r="I166" i="16" s="1"/>
  <c r="I164" i="16"/>
  <c r="I163" i="16"/>
  <c r="I162" i="16"/>
  <c r="I160" i="16"/>
  <c r="I159" i="16"/>
  <c r="I158" i="16"/>
  <c r="I157" i="16"/>
  <c r="I156" i="16"/>
  <c r="I154" i="16"/>
  <c r="I153" i="16"/>
  <c r="I152" i="16"/>
  <c r="I150" i="16"/>
  <c r="I149" i="16"/>
  <c r="I148" i="16"/>
  <c r="I146" i="16"/>
  <c r="I145" i="16"/>
  <c r="I144" i="16"/>
  <c r="I143" i="16"/>
  <c r="I140" i="16"/>
  <c r="I139" i="16"/>
  <c r="I138" i="16"/>
  <c r="I137" i="16"/>
  <c r="I135" i="16"/>
  <c r="I134" i="16"/>
  <c r="I133" i="16"/>
  <c r="I131" i="16"/>
  <c r="I130" i="16"/>
  <c r="I129" i="16"/>
  <c r="I128" i="16"/>
  <c r="I127" i="16"/>
  <c r="I126" i="16"/>
  <c r="I125" i="16"/>
  <c r="I124" i="16"/>
  <c r="I123" i="16"/>
  <c r="I122" i="16"/>
  <c r="I109" i="16"/>
  <c r="I108" i="16" s="1"/>
  <c r="I97" i="16"/>
  <c r="I96" i="16" s="1"/>
  <c r="H85" i="16"/>
  <c r="I85" i="16" s="1"/>
  <c r="I84" i="16" s="1"/>
  <c r="I82" i="16"/>
  <c r="I81" i="16"/>
  <c r="I80" i="16"/>
  <c r="I78" i="16"/>
  <c r="I77" i="16"/>
  <c r="I76" i="16"/>
  <c r="I74" i="16"/>
  <c r="I73" i="16"/>
  <c r="I72" i="16"/>
  <c r="I71" i="16"/>
  <c r="I69" i="16"/>
  <c r="I68" i="16"/>
  <c r="I66" i="16"/>
  <c r="I65" i="16"/>
  <c r="I63" i="16"/>
  <c r="I62" i="16"/>
  <c r="I61" i="16"/>
  <c r="I60" i="16"/>
  <c r="I59" i="16"/>
  <c r="I58" i="16"/>
  <c r="I56" i="16"/>
  <c r="I55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27" i="16"/>
  <c r="I24" i="16"/>
  <c r="I22" i="16"/>
  <c r="I21" i="16"/>
  <c r="I20" i="16"/>
  <c r="I19" i="16"/>
  <c r="I12" i="16"/>
  <c r="I11" i="16" s="1"/>
  <c r="I10" i="16"/>
  <c r="I9" i="16"/>
  <c r="I8" i="16"/>
  <c r="I5" i="16"/>
  <c r="I4" i="16" s="1"/>
  <c r="D7" i="11"/>
  <c r="E38" i="11"/>
  <c r="E7" i="11" s="1"/>
  <c r="D8" i="11" l="1"/>
  <c r="D10" i="11" s="1"/>
  <c r="D11" i="11" s="1"/>
  <c r="N20" i="16"/>
  <c r="W50" i="11"/>
  <c r="W45" i="11" s="1"/>
  <c r="I184" i="16"/>
  <c r="I161" i="16"/>
  <c r="I70" i="16"/>
  <c r="I23" i="16"/>
  <c r="I170" i="16"/>
  <c r="I54" i="16"/>
  <c r="I67" i="16"/>
  <c r="I178" i="16"/>
  <c r="I147" i="16"/>
  <c r="I132" i="16"/>
  <c r="I136" i="16"/>
  <c r="I75" i="16"/>
  <c r="I79" i="16"/>
  <c r="I142" i="16"/>
  <c r="I155" i="16"/>
  <c r="I151" i="16"/>
  <c r="I7" i="16"/>
  <c r="I174" i="16"/>
  <c r="I121" i="16"/>
  <c r="I40" i="16"/>
  <c r="I18" i="16"/>
  <c r="I57" i="16"/>
  <c r="I83" i="16"/>
  <c r="I39" i="16" l="1"/>
  <c r="I165" i="16"/>
  <c r="I120" i="16"/>
  <c r="I3" i="16"/>
  <c r="I212" i="16" s="1"/>
  <c r="I141" i="16"/>
  <c r="F38" i="11"/>
  <c r="F7" i="11" s="1"/>
  <c r="G38" i="11"/>
  <c r="G7" i="11" s="1"/>
  <c r="H38" i="11"/>
  <c r="H7" i="11" s="1"/>
  <c r="I38" i="11"/>
  <c r="I7" i="11" s="1"/>
  <c r="J38" i="11"/>
  <c r="J7" i="11" s="1"/>
  <c r="K38" i="11"/>
  <c r="K7" i="11" s="1"/>
  <c r="L38" i="11"/>
  <c r="L7" i="11" s="1"/>
  <c r="M38" i="11"/>
  <c r="M7" i="11" s="1"/>
  <c r="N38" i="11"/>
  <c r="N7" i="11" s="1"/>
  <c r="O38" i="11"/>
  <c r="O7" i="11" s="1"/>
  <c r="P38" i="11"/>
  <c r="P7" i="11" s="1"/>
  <c r="Q38" i="11"/>
  <c r="Q7" i="11" s="1"/>
  <c r="R38" i="11"/>
  <c r="R7" i="11" s="1"/>
  <c r="S38" i="11"/>
  <c r="S7" i="11" s="1"/>
  <c r="T38" i="11"/>
  <c r="T7" i="11" s="1"/>
  <c r="U38" i="11"/>
  <c r="U7" i="11" s="1"/>
  <c r="W39" i="11"/>
  <c r="I213" i="16" l="1"/>
  <c r="K8" i="11"/>
  <c r="K10" i="11" s="1"/>
  <c r="I8" i="11"/>
  <c r="I10" i="11" s="1"/>
  <c r="T8" i="11"/>
  <c r="T10" i="11" s="1"/>
  <c r="H8" i="11"/>
  <c r="H10" i="11" s="1"/>
  <c r="S8" i="11"/>
  <c r="S10" i="11" s="1"/>
  <c r="G8" i="11"/>
  <c r="G10" i="11" s="1"/>
  <c r="R8" i="11"/>
  <c r="R10" i="11" s="1"/>
  <c r="F8" i="11"/>
  <c r="F10" i="11" s="1"/>
  <c r="Q8" i="11"/>
  <c r="Q10" i="11" s="1"/>
  <c r="P8" i="11"/>
  <c r="P10" i="11" s="1"/>
  <c r="E8" i="11"/>
  <c r="O8" i="11"/>
  <c r="O10" i="11" s="1"/>
  <c r="J8" i="11"/>
  <c r="J10" i="11" s="1"/>
  <c r="N8" i="11"/>
  <c r="N10" i="11" s="1"/>
  <c r="M8" i="11"/>
  <c r="M10" i="11" s="1"/>
  <c r="U8" i="11"/>
  <c r="U10" i="11" s="1"/>
  <c r="L8" i="11"/>
  <c r="L10" i="11" s="1"/>
  <c r="W38" i="11"/>
  <c r="I214" i="16" l="1"/>
  <c r="J212" i="16" s="1"/>
  <c r="E10" i="11"/>
  <c r="E11" i="11" s="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W8" i="11"/>
  <c r="W7" i="11"/>
  <c r="J213" i="16" l="1"/>
  <c r="W10" i="11"/>
  <c r="C21" i="9"/>
  <c r="D6" i="9"/>
  <c r="G5" i="9" s="1"/>
  <c r="G6" i="9" s="1"/>
  <c r="G4" i="9"/>
  <c r="E9" i="9" l="1"/>
</calcChain>
</file>

<file path=xl/sharedStrings.xml><?xml version="1.0" encoding="utf-8"?>
<sst xmlns="http://schemas.openxmlformats.org/spreadsheetml/2006/main" count="1563" uniqueCount="508">
  <si>
    <t>TIPO</t>
  </si>
  <si>
    <t>Rótulos de Linha</t>
  </si>
  <si>
    <t>Total Geral</t>
  </si>
  <si>
    <t>DURACAO DECORRIDA</t>
  </si>
  <si>
    <t>AVANCO FISICO</t>
  </si>
  <si>
    <t>TERMINALIDADE</t>
  </si>
  <si>
    <t>ADERENCIA AO LOTE</t>
  </si>
  <si>
    <t>Data de Status</t>
  </si>
  <si>
    <t>Termino da Obra</t>
  </si>
  <si>
    <t>Inicio da Obra</t>
  </si>
  <si>
    <t>Prazo Total</t>
  </si>
  <si>
    <t>Dias Faltantes</t>
  </si>
  <si>
    <t>Planejado</t>
  </si>
  <si>
    <t>Executado</t>
  </si>
  <si>
    <t>IDP</t>
  </si>
  <si>
    <t>Desvio</t>
  </si>
  <si>
    <t>DESVIO</t>
  </si>
  <si>
    <t>ANALISE DE LONGO PRAZO</t>
  </si>
  <si>
    <t>ZSREW</t>
  </si>
  <si>
    <t>ENTRADA</t>
  </si>
  <si>
    <t>SAÍDA</t>
  </si>
  <si>
    <t>TOTAL</t>
  </si>
  <si>
    <t>FLUXO DE CAIXA - EMPREENDIMENTO NATBIM</t>
  </si>
  <si>
    <t>Data de Referência:</t>
  </si>
  <si>
    <t>Nº APTOS</t>
  </si>
  <si>
    <t>PREÇO MÉDIO 
DE VENDA</t>
  </si>
  <si>
    <t>Rótulos de Coluna</t>
  </si>
  <si>
    <t>EVENTOS</t>
  </si>
  <si>
    <t>Mobilização do Canteiro</t>
  </si>
  <si>
    <t>Desmobilização do Canteiro</t>
  </si>
  <si>
    <t>Entrega</t>
  </si>
  <si>
    <t>Vistoria</t>
  </si>
  <si>
    <t>Und</t>
  </si>
  <si>
    <t>Quant.</t>
  </si>
  <si>
    <t>Valor Unit</t>
  </si>
  <si>
    <t>Total</t>
  </si>
  <si>
    <t>CLASSIFICAÇÃO 1</t>
  </si>
  <si>
    <t>CLASSIFICAÇÃO 2</t>
  </si>
  <si>
    <t>CLASSIFICAÇÃO 3</t>
  </si>
  <si>
    <t>EQUIPAMENTOS E FERRAMENTAS</t>
  </si>
  <si>
    <t>2.1</t>
  </si>
  <si>
    <t>ESCAVAÇÃO</t>
  </si>
  <si>
    <t>2.1.1</t>
  </si>
  <si>
    <t xml:space="preserve">Locação de Retroescavadeira </t>
  </si>
  <si>
    <t>mês</t>
  </si>
  <si>
    <t>Variável</t>
  </si>
  <si>
    <t>Processo</t>
  </si>
  <si>
    <t>Locação até Contrapiso</t>
  </si>
  <si>
    <t>2.1.2</t>
  </si>
  <si>
    <t>Locação de Bobcat</t>
  </si>
  <si>
    <t>2.2</t>
  </si>
  <si>
    <t>ANDAIME FACHADEIRO</t>
  </si>
  <si>
    <t>2.2.2</t>
  </si>
  <si>
    <t>Andaime Fachadeiro - Montagem + Frete</t>
  </si>
  <si>
    <t>evento</t>
  </si>
  <si>
    <t>Fixo</t>
  </si>
  <si>
    <t>Início</t>
  </si>
  <si>
    <t>2.2.3</t>
  </si>
  <si>
    <t>Andaime Fachadeiro - Locação</t>
  </si>
  <si>
    <t>2.2.4</t>
  </si>
  <si>
    <t>Andaime Fachadeiro - Desmontagem + Frete</t>
  </si>
  <si>
    <t>Término</t>
  </si>
  <si>
    <t>2.3</t>
  </si>
  <si>
    <t>TRANSPORTE HORIZONTAL E VERTICAL</t>
  </si>
  <si>
    <t>2.3.1</t>
  </si>
  <si>
    <t>Locação de Caminhão Munck</t>
  </si>
  <si>
    <t>2.3.2</t>
  </si>
  <si>
    <t>Locação de Skytrack</t>
  </si>
  <si>
    <t>2.4</t>
  </si>
  <si>
    <t>ELEVADOR CREMALHEIRA</t>
  </si>
  <si>
    <t>2.4.1</t>
  </si>
  <si>
    <t>Elevador Cremalheira - Mobilização</t>
  </si>
  <si>
    <t>2.4.2</t>
  </si>
  <si>
    <t xml:space="preserve">Elevador Cremalheira - Locação </t>
  </si>
  <si>
    <t>2.4.3</t>
  </si>
  <si>
    <t>Elevador Cremalheira - Desmobilização</t>
  </si>
  <si>
    <t>2.5</t>
  </si>
  <si>
    <t>BALANCIM</t>
  </si>
  <si>
    <t>2.5.1</t>
  </si>
  <si>
    <t>Andaime suspenso elétrico (balancim) - Locação</t>
  </si>
  <si>
    <t>2.5.2</t>
  </si>
  <si>
    <t>Andaime suspenso elétrico (balancim) - Troca de Fachada</t>
  </si>
  <si>
    <t>2.5.3</t>
  </si>
  <si>
    <t xml:space="preserve">Andaime suspenso elétrico (balancim) - Montagem </t>
  </si>
  <si>
    <t>2.5.4</t>
  </si>
  <si>
    <t>Andaime suspenso elétrico (balancim) - Desmontagem</t>
  </si>
  <si>
    <t>Pintura Externa</t>
  </si>
  <si>
    <t>2.6</t>
  </si>
  <si>
    <t>LOCAÇÃO DE EQUIPAMENTOS GERAIS</t>
  </si>
  <si>
    <t>2.6.1</t>
  </si>
  <si>
    <t>Locação de Escoras Metálicas</t>
  </si>
  <si>
    <t>Estrutura Moldado in Loco</t>
  </si>
  <si>
    <t>2.6.2</t>
  </si>
  <si>
    <t>Locação de Lava Jato</t>
  </si>
  <si>
    <t>2.6.3</t>
  </si>
  <si>
    <t>Locação de Betoneira</t>
  </si>
  <si>
    <t>2.6.4</t>
  </si>
  <si>
    <t>Locação de Serra circular</t>
  </si>
  <si>
    <t>Fundação - Estrutura Moldado in Loco</t>
  </si>
  <si>
    <t>2.6.5</t>
  </si>
  <si>
    <t>Locação de Bomba de recalque e submersa</t>
  </si>
  <si>
    <t>2.6.6</t>
  </si>
  <si>
    <t xml:space="preserve">Locação de Martelo Rompedor </t>
  </si>
  <si>
    <t>2.7</t>
  </si>
  <si>
    <t>AQUISIÇÃO DE EQUIPAMENTOS GERAIS</t>
  </si>
  <si>
    <t>2.7.1</t>
  </si>
  <si>
    <t>Aquisição de Lava Jato</t>
  </si>
  <si>
    <t>und</t>
  </si>
  <si>
    <t>2.7.2</t>
  </si>
  <si>
    <t>Aquisição de Betoneira</t>
  </si>
  <si>
    <t>2.7.3</t>
  </si>
  <si>
    <t>Aquisição de Serra circular</t>
  </si>
  <si>
    <t>2.7.4</t>
  </si>
  <si>
    <t>Aquisição de Bomba de recalque e submersa</t>
  </si>
  <si>
    <t>2.7.5</t>
  </si>
  <si>
    <t xml:space="preserve">Aquisição de Martelo Rompedor </t>
  </si>
  <si>
    <t>2.8</t>
  </si>
  <si>
    <t>AQUISIÇÃO DE FERRAMENTAS</t>
  </si>
  <si>
    <t>2.8.1</t>
  </si>
  <si>
    <t>Carrinho de Mão</t>
  </si>
  <si>
    <t>2.8.2</t>
  </si>
  <si>
    <t>Nível à Laser</t>
  </si>
  <si>
    <t>INSTALAÇÕES PROVISÓRIAS E CONSUMOS</t>
  </si>
  <si>
    <t>3.1</t>
  </si>
  <si>
    <t>CONSTRUÇÃO DAS INSTALAÇÕES PROVISÓRIAS</t>
  </si>
  <si>
    <t>3.1.1</t>
  </si>
  <si>
    <t>Limpeza do terreno (em frente do empreendimento)</t>
  </si>
  <si>
    <t>vb</t>
  </si>
  <si>
    <t>Evento</t>
  </si>
  <si>
    <t>3.1.2</t>
  </si>
  <si>
    <t>Tapume da obra</t>
  </si>
  <si>
    <t>3.1.3</t>
  </si>
  <si>
    <t>Construção das instalações provisórias (escritório/refeitório/almoxarifado) - material</t>
  </si>
  <si>
    <t>3.1.4</t>
  </si>
  <si>
    <t>Construção das instalações provisórias (escritório/refeitório/almoxarifado) - mão de obra</t>
  </si>
  <si>
    <t>3.1.5</t>
  </si>
  <si>
    <t>Instalações elétricas provisórias canteiro - material</t>
  </si>
  <si>
    <t>3.1.6</t>
  </si>
  <si>
    <t>Instalações elétricas provisórias canteiro - mão de obra</t>
  </si>
  <si>
    <t>3.1.7</t>
  </si>
  <si>
    <t>Aquisição de mobiliário para escritório e refeitório</t>
  </si>
  <si>
    <t>3.1.8</t>
  </si>
  <si>
    <t>Aquisição de equipamentos de informatica e telefonia</t>
  </si>
  <si>
    <t>3.1.9</t>
  </si>
  <si>
    <t>Frete para importação de materiais de outras obras</t>
  </si>
  <si>
    <t>3.1.10</t>
  </si>
  <si>
    <t>Bases de concreto armado  (silo, elevador cremalheira, carpintaria)</t>
  </si>
  <si>
    <t>3.1.11</t>
  </si>
  <si>
    <t>Desmobilização do canteiro de obras</t>
  </si>
  <si>
    <t>3.1.12</t>
  </si>
  <si>
    <t>Rachão - Acesso</t>
  </si>
  <si>
    <t>3.1.13</t>
  </si>
  <si>
    <t>Placa de Obra</t>
  </si>
  <si>
    <t>3.2</t>
  </si>
  <si>
    <t>LIMPEZA DA OBRA</t>
  </si>
  <si>
    <t>3.2.1</t>
  </si>
  <si>
    <t xml:space="preserve">Locação de entulho </t>
  </si>
  <si>
    <t>prazo total</t>
  </si>
  <si>
    <t>3.2.2</t>
  </si>
  <si>
    <t>Dutos para retirada de entulhos</t>
  </si>
  <si>
    <t>3.3</t>
  </si>
  <si>
    <t>DESPESAS MENSAIS</t>
  </si>
  <si>
    <t>3.3.1</t>
  </si>
  <si>
    <t>Aluguel de container sanitário</t>
  </si>
  <si>
    <t>3.3.2</t>
  </si>
  <si>
    <t>Material de escritorio de obra (expediente)</t>
  </si>
  <si>
    <t>3.3.4</t>
  </si>
  <si>
    <t>Despesas com Farmácia</t>
  </si>
  <si>
    <t>3.3.5</t>
  </si>
  <si>
    <t>Conta de Água</t>
  </si>
  <si>
    <t>3.3.6</t>
  </si>
  <si>
    <t>Conta de Luz</t>
  </si>
  <si>
    <t>3.3.7</t>
  </si>
  <si>
    <t>Contas de Telefone e Internet</t>
  </si>
  <si>
    <t>3.3.8</t>
  </si>
  <si>
    <t>Locação gerador</t>
  </si>
  <si>
    <t>3.3.9</t>
  </si>
  <si>
    <t>Plotagem de projetos</t>
  </si>
  <si>
    <t>3.3.10</t>
  </si>
  <si>
    <t>Motoboy</t>
  </si>
  <si>
    <t>3.4</t>
  </si>
  <si>
    <t xml:space="preserve">SEGURANÇA PATRIMONIAL </t>
  </si>
  <si>
    <t>3.4.1</t>
  </si>
  <si>
    <t>Custo mensal da Vigilância Terceirizada</t>
  </si>
  <si>
    <t>3.4.2</t>
  </si>
  <si>
    <t xml:space="preserve">Gastos com câmeras de segurança, alarme de segurança, sensores de presença etc </t>
  </si>
  <si>
    <t>3.5</t>
  </si>
  <si>
    <t>EPI's</t>
  </si>
  <si>
    <t>3.5.1</t>
  </si>
  <si>
    <t>Capacetes, botas, calças, camisetas, jaquetas e capas de chuvas</t>
  </si>
  <si>
    <t>3.5.2</t>
  </si>
  <si>
    <t>Protetor auricular, facial, protetor solar,  máscara e óculos</t>
  </si>
  <si>
    <t>3.5.3</t>
  </si>
  <si>
    <t>Luvas aventais e abafador</t>
  </si>
  <si>
    <t>3.5.4</t>
  </si>
  <si>
    <t>Cintos de segurança, talabarte e travaquedas</t>
  </si>
  <si>
    <t>3.6</t>
  </si>
  <si>
    <t>CONTROLE TECNOLOGICO</t>
  </si>
  <si>
    <t>3.6.1</t>
  </si>
  <si>
    <t>Controle tecnológico das estacas</t>
  </si>
  <si>
    <t>3.6.2</t>
  </si>
  <si>
    <t>Controle tecnológico de qualidade de concreto e grout</t>
  </si>
  <si>
    <t>3.6.3</t>
  </si>
  <si>
    <t>Controle  tecnológico de qualidade de alvenaria estrutural</t>
  </si>
  <si>
    <t>Alvenaria Estrutural</t>
  </si>
  <si>
    <t>3.7</t>
  </si>
  <si>
    <t>CONSULTORIAS</t>
  </si>
  <si>
    <t>3.7.1</t>
  </si>
  <si>
    <t>Consultoria de Segurança</t>
  </si>
  <si>
    <t>3.7.2</t>
  </si>
  <si>
    <t>Consultoria de Qualidade</t>
  </si>
  <si>
    <t>3.7.3</t>
  </si>
  <si>
    <t>Consultoria de Planejamento</t>
  </si>
  <si>
    <t>Administração Central</t>
  </si>
  <si>
    <t>4.1</t>
  </si>
  <si>
    <t>Engenheiro Residente</t>
  </si>
  <si>
    <t>4.1.1</t>
  </si>
  <si>
    <t>Engenheiro Residente - Mês</t>
  </si>
  <si>
    <t>4.1.2</t>
  </si>
  <si>
    <t>Engenheiro Residente - Hora Extra</t>
  </si>
  <si>
    <t>4.1.3</t>
  </si>
  <si>
    <t>Engenheiro Residente - Vale Transporte</t>
  </si>
  <si>
    <t>4.1.4</t>
  </si>
  <si>
    <t>Engenheiro Residente - Vale Refeição</t>
  </si>
  <si>
    <t>4.1.5</t>
  </si>
  <si>
    <t>Engenheiro Residente - INSS | FGTS | Receita Federal</t>
  </si>
  <si>
    <t>4.1.6</t>
  </si>
  <si>
    <t>Engenheiro Residente - Sindicatos | Assessorias | Seguros</t>
  </si>
  <si>
    <t>4.1.7</t>
  </si>
  <si>
    <t>Engenheiro Residente - Exames admissionais, periódicos, demissionais</t>
  </si>
  <si>
    <t>4.1.8</t>
  </si>
  <si>
    <t>Engenheiro Residente - 13º salário</t>
  </si>
  <si>
    <t>4.1.9</t>
  </si>
  <si>
    <t>Engenheiro Residente - Férias (1/3)</t>
  </si>
  <si>
    <t>4.1.10</t>
  </si>
  <si>
    <t>Engenheiro Residente - Venda de férias</t>
  </si>
  <si>
    <t>4.1.11</t>
  </si>
  <si>
    <t>Engenheiro Residente - Rescisão</t>
  </si>
  <si>
    <t>4.2</t>
  </si>
  <si>
    <t>Mestre de Obras</t>
  </si>
  <si>
    <t>4.2.1</t>
  </si>
  <si>
    <t>Mestre de Obras - Mês</t>
  </si>
  <si>
    <t>4.2.2</t>
  </si>
  <si>
    <t>Mestre de Obras - Hora Extra</t>
  </si>
  <si>
    <t>4.2.3</t>
  </si>
  <si>
    <t>Mestre de Obras - Vale Transporte</t>
  </si>
  <si>
    <t>4.2.4</t>
  </si>
  <si>
    <t>Mestre de Obras - Vale Refeição</t>
  </si>
  <si>
    <t>4.2.5</t>
  </si>
  <si>
    <t>Mestre de Obras - INSS | FGTS | Receita Federal</t>
  </si>
  <si>
    <t>4.2.6</t>
  </si>
  <si>
    <t>Mestre de Obras - Sindicatos | Assessorias | Seguros</t>
  </si>
  <si>
    <t>4.2.7</t>
  </si>
  <si>
    <t>Mestre de Obras - Exames admissionais, periódicos, demissionais</t>
  </si>
  <si>
    <t>4.2.8</t>
  </si>
  <si>
    <t>Mestre de Obras - 13º salário</t>
  </si>
  <si>
    <t>4.2.9</t>
  </si>
  <si>
    <t>Mestre de Obras - Férias (1/3)</t>
  </si>
  <si>
    <t>4.2.10</t>
  </si>
  <si>
    <t>Mestre de Obras - Venda de férias</t>
  </si>
  <si>
    <t>4.2.11</t>
  </si>
  <si>
    <t>Mestre de Obras - Rescisão</t>
  </si>
  <si>
    <t>4.3</t>
  </si>
  <si>
    <t>Encarregado</t>
  </si>
  <si>
    <t>4.3.1</t>
  </si>
  <si>
    <t>Encarregado 01 - Mês</t>
  </si>
  <si>
    <t>4.3.2</t>
  </si>
  <si>
    <t>Encarregado 01 - Hora Extra</t>
  </si>
  <si>
    <t>4.3.3</t>
  </si>
  <si>
    <t>Encarregado 01 - Vale Transporte</t>
  </si>
  <si>
    <t>4.3.4</t>
  </si>
  <si>
    <t>Encarregado 01 - Vale Refeição</t>
  </si>
  <si>
    <t>4.3.5</t>
  </si>
  <si>
    <t>Encarregado 01 - INSS | FGTS | Receita Federal</t>
  </si>
  <si>
    <t>4.3.6</t>
  </si>
  <si>
    <t>Encarregado 01 - Sindicatos | Assessorias | Seguros</t>
  </si>
  <si>
    <t>4.3.7</t>
  </si>
  <si>
    <t>Encarregado 01 - Exames admissionais, periódicos, demissionais</t>
  </si>
  <si>
    <t>4.3.8</t>
  </si>
  <si>
    <t>Encarregado 01 - 13º salário</t>
  </si>
  <si>
    <t>4.3.9</t>
  </si>
  <si>
    <t>Encarregado 01 - Férias (1/3)</t>
  </si>
  <si>
    <t>4.3.10</t>
  </si>
  <si>
    <t>Encarregado 01 - Venda de férias</t>
  </si>
  <si>
    <t>4.3.11</t>
  </si>
  <si>
    <t>Encarregado 01 - Rescisão</t>
  </si>
  <si>
    <t>Projetos e Aprovações</t>
  </si>
  <si>
    <t>5.1</t>
  </si>
  <si>
    <t>Elaboração de Projetos</t>
  </si>
  <si>
    <t>5.1.1</t>
  </si>
  <si>
    <t>Projeto Arquitetônico</t>
  </si>
  <si>
    <t>Projeto</t>
  </si>
  <si>
    <t>5.1.2</t>
  </si>
  <si>
    <t>Projeto Estrutural</t>
  </si>
  <si>
    <t>5.1.3</t>
  </si>
  <si>
    <t>Projeto Instalações Hidrossanitário Predial</t>
  </si>
  <si>
    <t>5.1.4</t>
  </si>
  <si>
    <t>Projeto Instalações Elétrico Predial</t>
  </si>
  <si>
    <t>5.1.5</t>
  </si>
  <si>
    <t>Projeto de Ar Condicionado</t>
  </si>
  <si>
    <t>5.1.6</t>
  </si>
  <si>
    <t>Projeto de Gás</t>
  </si>
  <si>
    <t>5.1.7</t>
  </si>
  <si>
    <t>Projeto de PPCI</t>
  </si>
  <si>
    <t>5.1.8</t>
  </si>
  <si>
    <t>Projeto Paisagístico</t>
  </si>
  <si>
    <t>5.1.9</t>
  </si>
  <si>
    <t>Planialtimetrico</t>
  </si>
  <si>
    <t>5.1.10</t>
  </si>
  <si>
    <t>Sondagem</t>
  </si>
  <si>
    <t>5.2</t>
  </si>
  <si>
    <t>Licenciamento</t>
  </si>
  <si>
    <t>5.2.1</t>
  </si>
  <si>
    <t>Licenciamento Ambiental</t>
  </si>
  <si>
    <t>5.2.2</t>
  </si>
  <si>
    <t>Compensação Ambiental</t>
  </si>
  <si>
    <t>5.2.3</t>
  </si>
  <si>
    <t>Transplante de árvores</t>
  </si>
  <si>
    <t>5.3</t>
  </si>
  <si>
    <t>Taxas</t>
  </si>
  <si>
    <t>5.3.1</t>
  </si>
  <si>
    <t>Taxa de aprovação de projeto legal</t>
  </si>
  <si>
    <t>5.3.2</t>
  </si>
  <si>
    <t>Taxa de ligação de água</t>
  </si>
  <si>
    <t>5.3.3</t>
  </si>
  <si>
    <t>Taxa de vistoria de bombeirs</t>
  </si>
  <si>
    <t>5.3.4</t>
  </si>
  <si>
    <t>Taxa de habite-se</t>
  </si>
  <si>
    <t>Sede</t>
  </si>
  <si>
    <t>6.1</t>
  </si>
  <si>
    <t>Assessorias</t>
  </si>
  <si>
    <t>6.1.1</t>
  </si>
  <si>
    <t>Assessoria Contábil</t>
  </si>
  <si>
    <t>6.1.2</t>
  </si>
  <si>
    <t>Assessoria de Site</t>
  </si>
  <si>
    <t>6.1.3</t>
  </si>
  <si>
    <t>Assessoria de RH</t>
  </si>
  <si>
    <t>6.1.4</t>
  </si>
  <si>
    <t>Assessoria Jurídica</t>
  </si>
  <si>
    <t>6.2</t>
  </si>
  <si>
    <t>Despesas Bancárias</t>
  </si>
  <si>
    <t>6.2.1</t>
  </si>
  <si>
    <t>Tarifa de manutenção de conta corrente</t>
  </si>
  <si>
    <t>6.2.2</t>
  </si>
  <si>
    <t>Taxa de acompanhamento de operação</t>
  </si>
  <si>
    <t>6.2.3</t>
  </si>
  <si>
    <t>Taxa da construtora</t>
  </si>
  <si>
    <t>6.3</t>
  </si>
  <si>
    <t>Seguros</t>
  </si>
  <si>
    <t>6.3.1</t>
  </si>
  <si>
    <t>Seguro risco de engenharia</t>
  </si>
  <si>
    <t>6.3.2</t>
  </si>
  <si>
    <t>Seguro multirisco</t>
  </si>
  <si>
    <t>6.3.3</t>
  </si>
  <si>
    <t>Seguro infra</t>
  </si>
  <si>
    <t>6.4</t>
  </si>
  <si>
    <t>Incorporação</t>
  </si>
  <si>
    <t>6.4.1</t>
  </si>
  <si>
    <t>Honorários para incorporação</t>
  </si>
  <si>
    <t>6.4.2</t>
  </si>
  <si>
    <t>Certidões e narratórias para incorporação</t>
  </si>
  <si>
    <t>6.4.3</t>
  </si>
  <si>
    <t>Autenticações e Reconhecimentos</t>
  </si>
  <si>
    <t>6.4.4</t>
  </si>
  <si>
    <t>Registro de incorporação</t>
  </si>
  <si>
    <t>6.4.5</t>
  </si>
  <si>
    <t xml:space="preserve">Averbação da construção </t>
  </si>
  <si>
    <t>6.5</t>
  </si>
  <si>
    <t>Despesas do escritório central</t>
  </si>
  <si>
    <t>6.5.1</t>
  </si>
  <si>
    <t>Rateio de custos do escritório central</t>
  </si>
  <si>
    <t>6.5.2</t>
  </si>
  <si>
    <t>Reembolsos visitas obra</t>
  </si>
  <si>
    <t>6.5.3</t>
  </si>
  <si>
    <t>Softwares</t>
  </si>
  <si>
    <t>Comercialização</t>
  </si>
  <si>
    <t>7.1</t>
  </si>
  <si>
    <t>Impostos</t>
  </si>
  <si>
    <t>7.1.1</t>
  </si>
  <si>
    <t>Impostos sobre o Faturamento</t>
  </si>
  <si>
    <t>apto</t>
  </si>
  <si>
    <t>Vendas</t>
  </si>
  <si>
    <t>7.2</t>
  </si>
  <si>
    <t>Comissões de vendas</t>
  </si>
  <si>
    <t>7.2.1</t>
  </si>
  <si>
    <t>Imobiliárias - Comissão de vendas</t>
  </si>
  <si>
    <t>7.3</t>
  </si>
  <si>
    <t>Plantão de Vendas e Decorado</t>
  </si>
  <si>
    <t>7.3.1</t>
  </si>
  <si>
    <t>Construção do Plantão de Vendas</t>
  </si>
  <si>
    <t>7.3.2</t>
  </si>
  <si>
    <t>Construção do Decorado</t>
  </si>
  <si>
    <t>7.3.3</t>
  </si>
  <si>
    <t>Limpeza e manutenção do Plantão de Vendas e Decorado</t>
  </si>
  <si>
    <t>7.4</t>
  </si>
  <si>
    <t>Marketing</t>
  </si>
  <si>
    <t>7.4.1</t>
  </si>
  <si>
    <t>Agencia de Comunicação</t>
  </si>
  <si>
    <t>7.4.2</t>
  </si>
  <si>
    <t>Mídia Convencional</t>
  </si>
  <si>
    <t>7.4.3</t>
  </si>
  <si>
    <t>Mídia Digital</t>
  </si>
  <si>
    <t>7.5</t>
  </si>
  <si>
    <t>Entrega dos Apartamentos</t>
  </si>
  <si>
    <t>7.5.1</t>
  </si>
  <si>
    <t>Evento de Vistorias</t>
  </si>
  <si>
    <t>7.5.2</t>
  </si>
  <si>
    <t>Evento de entrega das chaves</t>
  </si>
  <si>
    <t>7.5.3</t>
  </si>
  <si>
    <t xml:space="preserve">Chaves e Acionadores de Portão </t>
  </si>
  <si>
    <t>7.5.4</t>
  </si>
  <si>
    <t xml:space="preserve">Manuais </t>
  </si>
  <si>
    <t>7.5.5</t>
  </si>
  <si>
    <t>Brindes</t>
  </si>
  <si>
    <t>7.6</t>
  </si>
  <si>
    <t>Custo dos Clientes</t>
  </si>
  <si>
    <t>7.6.1</t>
  </si>
  <si>
    <t>ITBI Clientes</t>
  </si>
  <si>
    <t>7.6.2</t>
  </si>
  <si>
    <t>Registro de Imóveis Clientes</t>
  </si>
  <si>
    <t>Terreno</t>
  </si>
  <si>
    <t>8.1</t>
  </si>
  <si>
    <t>Aquisição do Terreno</t>
  </si>
  <si>
    <t>8.1.2</t>
  </si>
  <si>
    <t>Aquisição do terreno</t>
  </si>
  <si>
    <t>8.1.3</t>
  </si>
  <si>
    <t>Remuneração do proprietário do terreno</t>
  </si>
  <si>
    <t>8.1.4</t>
  </si>
  <si>
    <t>Reembolso aos investidores do terreno</t>
  </si>
  <si>
    <t>8.1.5</t>
  </si>
  <si>
    <t>Comissão de venda terreno</t>
  </si>
  <si>
    <t>8.1.6</t>
  </si>
  <si>
    <t xml:space="preserve">Correção valor do terreno (INCC) </t>
  </si>
  <si>
    <t>8.1.7</t>
  </si>
  <si>
    <t xml:space="preserve">ITBI </t>
  </si>
  <si>
    <t>8.2</t>
  </si>
  <si>
    <t>Regularização do Terreno</t>
  </si>
  <si>
    <t>8.2.1</t>
  </si>
  <si>
    <t xml:space="preserve">Horas Técnicas de Advogado </t>
  </si>
  <si>
    <t>horas</t>
  </si>
  <si>
    <t>8.2.2</t>
  </si>
  <si>
    <t>Regularização (custo de desocupação) do terreno</t>
  </si>
  <si>
    <t>8.2.3</t>
  </si>
  <si>
    <t>Pagamento de IPTU atrasado</t>
  </si>
  <si>
    <t>8.3</t>
  </si>
  <si>
    <t>Despesas Iniciais do Terreno</t>
  </si>
  <si>
    <t>8.3.1</t>
  </si>
  <si>
    <t>Limpeza Inicial do Terreno</t>
  </si>
  <si>
    <t>8.3.2</t>
  </si>
  <si>
    <t>Demolição</t>
  </si>
  <si>
    <t>8.3.3</t>
  </si>
  <si>
    <t>Fechamento/Cercamento</t>
  </si>
  <si>
    <t>8.4</t>
  </si>
  <si>
    <t>Cmpra de Inície Construtivo</t>
  </si>
  <si>
    <t>8.4.1</t>
  </si>
  <si>
    <t>Compra de Índice Construtivo</t>
  </si>
  <si>
    <t>8.5</t>
  </si>
  <si>
    <t>Despesas Mensais do Terreno</t>
  </si>
  <si>
    <t>8.5.1</t>
  </si>
  <si>
    <t>Manutenção do terreno pré-obra (limpeza)</t>
  </si>
  <si>
    <t>8.5.2</t>
  </si>
  <si>
    <t>IPTU do Terreno (após a compra)</t>
  </si>
  <si>
    <t>8.5.3</t>
  </si>
  <si>
    <t>Conta de Água do Terreno</t>
  </si>
  <si>
    <t>8.5.4</t>
  </si>
  <si>
    <t xml:space="preserve">Conta de Luz do Terreno </t>
  </si>
  <si>
    <t>8.5.5</t>
  </si>
  <si>
    <t>Vigia do Terreno</t>
  </si>
  <si>
    <t>DESCRIÇÃO</t>
  </si>
  <si>
    <t>ITEM</t>
  </si>
  <si>
    <t>Soma de Total</t>
  </si>
  <si>
    <t>(Vários itens)</t>
  </si>
  <si>
    <t>grupo</t>
  </si>
  <si>
    <t>SALDO OPERACIONAL</t>
  </si>
  <si>
    <t>SALDO FINAL</t>
  </si>
  <si>
    <t>ENTRADA (+)</t>
  </si>
  <si>
    <t>SAÍDA (-)</t>
  </si>
  <si>
    <t>FIXO (INÍCIO)</t>
  </si>
  <si>
    <t>FIXO (TÉRMINO)</t>
  </si>
  <si>
    <t>VENDAS</t>
  </si>
  <si>
    <t>Edificação (Vico ou Orçafascio)</t>
  </si>
  <si>
    <t>EVENTO/PROCESSO LOB</t>
  </si>
  <si>
    <t>QUANTIDADES (BIM)</t>
  </si>
  <si>
    <t>tÉRMINO</t>
  </si>
  <si>
    <t>GRUPO</t>
  </si>
  <si>
    <t>definição</t>
  </si>
  <si>
    <t>CUSTO</t>
  </si>
  <si>
    <t>DESPESAS</t>
  </si>
  <si>
    <t>DESPESA</t>
  </si>
  <si>
    <t>Quantidade</t>
  </si>
  <si>
    <t>TEMPO - PRODUÇÃO</t>
  </si>
  <si>
    <t>TEMPO - PRAZO TOTAL</t>
  </si>
  <si>
    <t>Tempo - Prazo Total</t>
  </si>
  <si>
    <t>Tempo - Processo</t>
  </si>
  <si>
    <t>Data</t>
  </si>
  <si>
    <t>Pintura Externa - Início</t>
  </si>
  <si>
    <t>Pintura Externa - Término</t>
  </si>
  <si>
    <t>Gesso Liso - Início</t>
  </si>
  <si>
    <t>Estacas Helice Continua - Término</t>
  </si>
  <si>
    <t>Reboco Externo - Término</t>
  </si>
  <si>
    <t>Alvenaria Estrutural - Início</t>
  </si>
  <si>
    <t>Alvenaria até Gesso Liso</t>
  </si>
  <si>
    <t>Alvenaria Estrutural até Reboco Externo</t>
  </si>
  <si>
    <t>verifical manual</t>
  </si>
  <si>
    <t>vendas</t>
  </si>
  <si>
    <t>(Tudo)</t>
  </si>
  <si>
    <t>desembolso curva s</t>
  </si>
  <si>
    <t>Total - Custo Tempo - Processos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</si>
</sst>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* #,##0_-;\-* #,##0_-;_-* &quot;-&quot;??_-;_-@_-"/>
    <numFmt numFmtId="166" formatCode="[$-416]mmm\-yy;@"/>
    <numFmt numFmtId="167" formatCode="_-&quot;R$&quot;\ * #,##0_-;\-&quot;R$&quot;\ * #,##0_-;_-&quot;R$&quot;\ * &quot;-&quot;??_-;_-@_-"/>
    <numFmt numFmtId="168" formatCode="[$-416]mmmm\-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al"/>
    </font>
    <font>
      <b/>
      <sz val="10"/>
      <color theme="1"/>
      <name val="Aral"/>
    </font>
    <font>
      <b/>
      <sz val="12"/>
      <color theme="0"/>
      <name val="Aral"/>
    </font>
    <font>
      <b/>
      <sz val="10"/>
      <color theme="0"/>
      <name val="Aral"/>
    </font>
    <font>
      <b/>
      <sz val="10"/>
      <name val="Aral"/>
    </font>
    <font>
      <sz val="10"/>
      <name val="Arial"/>
      <family val="2"/>
    </font>
    <font>
      <sz val="11"/>
      <name val="Arial"/>
      <family val="1"/>
    </font>
    <font>
      <b/>
      <sz val="10"/>
      <name val="Arial"/>
      <family val="2"/>
    </font>
    <font>
      <b/>
      <sz val="10"/>
      <color rgb="FF000000"/>
      <name val="Arial"/>
      <family val="1"/>
    </font>
    <font>
      <sz val="10"/>
      <name val="Arial"/>
      <family val="1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164" fontId="0" fillId="0" borderId="0" xfId="0" applyNumberFormat="1"/>
    <xf numFmtId="9" fontId="1" fillId="0" borderId="0" xfId="2" applyFont="1" applyAlignment="1">
      <alignment horizontal="center"/>
    </xf>
    <xf numFmtId="14" fontId="0" fillId="0" borderId="0" xfId="0" applyNumberFormat="1"/>
    <xf numFmtId="0" fontId="0" fillId="0" borderId="0" xfId="0" pivotButton="1"/>
    <xf numFmtId="0" fontId="1" fillId="0" borderId="0" xfId="0" applyFont="1"/>
    <xf numFmtId="0" fontId="1" fillId="0" borderId="0" xfId="0" applyFont="1" applyAlignment="1"/>
    <xf numFmtId="0" fontId="3" fillId="0" borderId="0" xfId="0" applyFont="1"/>
    <xf numFmtId="166" fontId="0" fillId="0" borderId="0" xfId="0" applyNumberFormat="1" applyAlignment="1">
      <alignment horizontal="center"/>
    </xf>
    <xf numFmtId="0" fontId="4" fillId="0" borderId="0" xfId="0" applyFont="1"/>
    <xf numFmtId="166" fontId="4" fillId="0" borderId="0" xfId="0" applyNumberFormat="1" applyFont="1" applyAlignment="1">
      <alignment horizontal="center"/>
    </xf>
    <xf numFmtId="17" fontId="5" fillId="0" borderId="1" xfId="0" applyNumberFormat="1" applyFont="1" applyBorder="1" applyAlignment="1">
      <alignment horizontal="center"/>
    </xf>
    <xf numFmtId="166" fontId="7" fillId="4" borderId="2" xfId="0" applyNumberFormat="1" applyFont="1" applyFill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7" fillId="4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167" fontId="7" fillId="2" borderId="2" xfId="3" applyNumberFormat="1" applyFont="1" applyFill="1" applyBorder="1" applyAlignment="1">
      <alignment vertical="center"/>
    </xf>
    <xf numFmtId="167" fontId="8" fillId="5" borderId="2" xfId="3" applyNumberFormat="1" applyFont="1" applyFill="1" applyBorder="1" applyAlignment="1">
      <alignment horizontal="center" vertical="center"/>
    </xf>
    <xf numFmtId="167" fontId="0" fillId="0" borderId="0" xfId="3" applyNumberFormat="1" applyFont="1"/>
    <xf numFmtId="167" fontId="4" fillId="0" borderId="0" xfId="3" applyNumberFormat="1" applyFont="1"/>
    <xf numFmtId="0" fontId="9" fillId="0" borderId="0" xfId="4" applyFont="1" applyAlignment="1">
      <alignment horizontal="center"/>
    </xf>
    <xf numFmtId="0" fontId="11" fillId="8" borderId="3" xfId="4" applyFont="1" applyFill="1" applyBorder="1" applyAlignment="1">
      <alignment horizontal="center" vertical="center" wrapText="1"/>
    </xf>
    <xf numFmtId="43" fontId="11" fillId="8" borderId="3" xfId="5" applyFont="1" applyFill="1" applyBorder="1" applyAlignment="1">
      <alignment horizontal="center" vertical="center" wrapText="1"/>
    </xf>
    <xf numFmtId="164" fontId="11" fillId="8" borderId="3" xfId="4" applyNumberFormat="1" applyFont="1" applyFill="1" applyBorder="1" applyAlignment="1">
      <alignment horizontal="center" vertical="center" wrapText="1"/>
    </xf>
    <xf numFmtId="0" fontId="10" fillId="0" borderId="0" xfId="4"/>
    <xf numFmtId="0" fontId="12" fillId="9" borderId="3" xfId="4" applyFont="1" applyFill="1" applyBorder="1" applyAlignment="1">
      <alignment horizontal="center" vertical="center" wrapText="1"/>
    </xf>
    <xf numFmtId="164" fontId="12" fillId="9" borderId="3" xfId="5" applyNumberFormat="1" applyFont="1" applyFill="1" applyBorder="1" applyAlignment="1">
      <alignment horizontal="center" vertical="center" wrapText="1"/>
    </xf>
    <xf numFmtId="43" fontId="12" fillId="9" borderId="3" xfId="5" applyFont="1" applyFill="1" applyBorder="1" applyAlignment="1">
      <alignment horizontal="center" vertical="center" wrapText="1"/>
    </xf>
    <xf numFmtId="164" fontId="9" fillId="0" borderId="0" xfId="4" applyNumberFormat="1" applyFont="1" applyAlignment="1">
      <alignment horizontal="center"/>
    </xf>
    <xf numFmtId="164" fontId="12" fillId="9" borderId="3" xfId="4" applyNumberFormat="1" applyFont="1" applyFill="1" applyBorder="1" applyAlignment="1">
      <alignment horizontal="center" vertical="center" wrapText="1"/>
    </xf>
    <xf numFmtId="43" fontId="9" fillId="0" borderId="0" xfId="5" applyFont="1" applyAlignment="1">
      <alignment horizontal="center"/>
    </xf>
    <xf numFmtId="0" fontId="13" fillId="0" borderId="0" xfId="4" applyFont="1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vertical="center"/>
    </xf>
    <xf numFmtId="3" fontId="8" fillId="3" borderId="2" xfId="3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4" fillId="0" borderId="0" xfId="3" applyNumberFormat="1" applyFont="1"/>
    <xf numFmtId="0" fontId="9" fillId="0" borderId="0" xfId="4" applyFont="1" applyAlignment="1">
      <alignment horizontal="left"/>
    </xf>
    <xf numFmtId="0" fontId="12" fillId="9" borderId="3" xfId="4" applyFont="1" applyFill="1" applyBorder="1" applyAlignment="1">
      <alignment horizontal="left" vertical="center" wrapText="1"/>
    </xf>
    <xf numFmtId="0" fontId="13" fillId="0" borderId="0" xfId="4" applyFont="1" applyAlignment="1">
      <alignment horizontal="left"/>
    </xf>
    <xf numFmtId="43" fontId="9" fillId="0" borderId="0" xfId="1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center"/>
    </xf>
    <xf numFmtId="166" fontId="15" fillId="4" borderId="2" xfId="0" applyNumberFormat="1" applyFont="1" applyFill="1" applyBorder="1" applyAlignment="1">
      <alignment horizontal="center" vertical="center"/>
    </xf>
    <xf numFmtId="164" fontId="16" fillId="7" borderId="0" xfId="0" applyNumberFormat="1" applyFont="1" applyFill="1"/>
    <xf numFmtId="164" fontId="16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10" borderId="0" xfId="0" applyFont="1" applyFill="1" applyAlignment="1">
      <alignment horizontal="left"/>
    </xf>
    <xf numFmtId="0" fontId="0" fillId="0" borderId="0" xfId="0" applyNumberFormat="1"/>
    <xf numFmtId="44" fontId="11" fillId="8" borderId="3" xfId="3" applyFont="1" applyFill="1" applyBorder="1" applyAlignment="1">
      <alignment horizontal="center" vertical="center" wrapText="1"/>
    </xf>
    <xf numFmtId="44" fontId="12" fillId="9" borderId="3" xfId="3" applyFont="1" applyFill="1" applyBorder="1" applyAlignment="1">
      <alignment horizontal="center" vertical="center" wrapText="1"/>
    </xf>
    <xf numFmtId="44" fontId="9" fillId="0" borderId="0" xfId="3" applyFont="1" applyAlignment="1">
      <alignment horizontal="center"/>
    </xf>
    <xf numFmtId="168" fontId="11" fillId="8" borderId="3" xfId="4" applyNumberFormat="1" applyFont="1" applyFill="1" applyBorder="1" applyAlignment="1">
      <alignment horizontal="center" vertical="center" wrapText="1"/>
    </xf>
    <xf numFmtId="168" fontId="12" fillId="9" borderId="3" xfId="5" applyNumberFormat="1" applyFont="1" applyFill="1" applyBorder="1" applyAlignment="1">
      <alignment horizontal="center" vertical="center" wrapText="1"/>
    </xf>
    <xf numFmtId="168" fontId="9" fillId="0" borderId="0" xfId="4" applyNumberFormat="1" applyFont="1" applyAlignment="1">
      <alignment horizontal="center"/>
    </xf>
    <xf numFmtId="164" fontId="0" fillId="10" borderId="0" xfId="0" applyNumberFormat="1" applyFill="1" applyAlignment="1">
      <alignment horizontal="center"/>
    </xf>
    <xf numFmtId="44" fontId="0" fillId="0" borderId="0" xfId="0" applyNumberFormat="1"/>
    <xf numFmtId="165" fontId="16" fillId="6" borderId="0" xfId="1" applyNumberFormat="1" applyFont="1" applyFill="1"/>
    <xf numFmtId="165" fontId="14" fillId="0" borderId="0" xfId="0" applyNumberFormat="1" applyFont="1"/>
    <xf numFmtId="165" fontId="16" fillId="0" borderId="0" xfId="0" applyNumberFormat="1" applyFont="1"/>
    <xf numFmtId="165" fontId="16" fillId="6" borderId="0" xfId="0" applyNumberFormat="1" applyFont="1" applyFill="1"/>
    <xf numFmtId="165" fontId="16" fillId="7" borderId="0" xfId="0" applyNumberFormat="1" applyFont="1" applyFill="1"/>
    <xf numFmtId="9" fontId="9" fillId="0" borderId="0" xfId="2" applyFont="1" applyAlignment="1">
      <alignment horizontal="center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  <xf numFmtId="0" fontId="6" fillId="2" borderId="0" xfId="0" applyFont="1" applyFill="1" applyAlignment="1">
      <alignment horizontal="center" vertical="center" textRotation="90"/>
    </xf>
    <xf numFmtId="0" fontId="6" fillId="2" borderId="0" xfId="0" applyFont="1" applyFill="1" applyAlignment="1">
      <alignment horizontal="center" vertical="center" textRotation="90" wrapText="1"/>
    </xf>
    <xf numFmtId="0" fontId="1" fillId="0" borderId="0" xfId="0" applyFont="1" applyAlignment="1">
      <alignment horizontal="left"/>
    </xf>
  </cellXfs>
  <cellStyles count="6">
    <cellStyle name="Moeda" xfId="3" builtinId="4"/>
    <cellStyle name="Normal" xfId="0" builtinId="0"/>
    <cellStyle name="Normal 2" xfId="4" xr:uid="{20C642DE-C24A-4D06-9A8C-45F83E77728C}"/>
    <cellStyle name="Porcentagem" xfId="2" builtinId="5"/>
    <cellStyle name="Vírgula" xfId="1" builtinId="3"/>
    <cellStyle name="Vírgula 2" xfId="5" xr:uid="{B20CEDB6-E757-4FB3-A1CA-42B198897548}"/>
  </cellStyles>
  <dxfs count="12">
    <dxf>
      <numFmt numFmtId="34" formatCode="_-&quot;R$&quot;\ * #,##0.00_-;\-&quot;R$&quot;\ * #,##0.00_-;_-&quot;R$&quot;\ * &quot;-&quot;??_-;_-@_-"/>
    </dxf>
    <dxf>
      <fill>
        <patternFill patternType="solid">
          <bgColor theme="5" tint="0.79998168889431442"/>
        </patternFill>
      </fill>
    </dxf>
    <dxf>
      <numFmt numFmtId="164" formatCode="_-[$R$-416]\ * #,##0.00_-;\-[$R$-416]\ * #,##0.00_-;_-[$R$-416]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E6E6"/>
      <color rgb="FF0000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93206511048673E-2"/>
          <c:y val="6.5225481025337775E-2"/>
          <c:w val="0.79292952123679572"/>
          <c:h val="0.77082177947056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'FLUXO DE CAIXA'!$C$10</c:f>
              <c:strCache>
                <c:ptCount val="1"/>
                <c:pt idx="0">
                  <c:v>SALDO OPERACIONAL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4B-475E-9494-97CEC1EDFDB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4B-475E-9494-97CEC1EDFDB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84B-475E-9494-97CEC1EDFDB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A0-4CC2-8A2B-40798CDA34AD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A0-4CC2-8A2B-40798CDA34AD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84B-475E-9494-97CEC1EDFDB0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4B-475E-9494-97CEC1EDFDB0}"/>
              </c:ext>
            </c:extLst>
          </c:dPt>
          <c:cat>
            <c:numRef>
              <c:f>'FLUXO DE CAIXA'!$D$6:$U$6</c:f>
              <c:numCache>
                <c:formatCode>[$-416]mmm\-yy;@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</c:numCache>
            </c:numRef>
          </c:cat>
          <c:val>
            <c:numRef>
              <c:f>'FLUXO DE CAIXA'!$D$10:$U$10</c:f>
              <c:numCache>
                <c:formatCode>#,##0</c:formatCode>
                <c:ptCount val="18"/>
                <c:pt idx="0">
                  <c:v>-125800</c:v>
                </c:pt>
                <c:pt idx="1">
                  <c:v>24292.984638889728</c:v>
                </c:pt>
                <c:pt idx="2">
                  <c:v>-151398.53103390604</c:v>
                </c:pt>
                <c:pt idx="3">
                  <c:v>-29908.360320280655</c:v>
                </c:pt>
                <c:pt idx="4">
                  <c:v>261053.61370392249</c:v>
                </c:pt>
                <c:pt idx="5">
                  <c:v>337604.62269473972</c:v>
                </c:pt>
                <c:pt idx="6">
                  <c:v>156272.52558433614</c:v>
                </c:pt>
                <c:pt idx="7">
                  <c:v>10780.065870931663</c:v>
                </c:pt>
                <c:pt idx="8">
                  <c:v>-19517.570404280676</c:v>
                </c:pt>
                <c:pt idx="9">
                  <c:v>57625.7348133208</c:v>
                </c:pt>
                <c:pt idx="10">
                  <c:v>112475.81445232665</c:v>
                </c:pt>
                <c:pt idx="11">
                  <c:v>-48347.9</c:v>
                </c:pt>
                <c:pt idx="12">
                  <c:v>-8400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3-4D80-B790-5E3EA5E79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934160"/>
        <c:axId val="771941232"/>
      </c:barChart>
      <c:lineChart>
        <c:grouping val="stacked"/>
        <c:varyColors val="0"/>
        <c:ser>
          <c:idx val="1"/>
          <c:order val="1"/>
          <c:tx>
            <c:v>SALDO FINAL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'FLUXO DE CAIXA'!$D$11:$U$11</c:f>
              <c:numCache>
                <c:formatCode>#,##0</c:formatCode>
                <c:ptCount val="18"/>
                <c:pt idx="0">
                  <c:v>-125800</c:v>
                </c:pt>
                <c:pt idx="1">
                  <c:v>-101507.01536111027</c:v>
                </c:pt>
                <c:pt idx="2">
                  <c:v>-252905.54639501631</c:v>
                </c:pt>
                <c:pt idx="3">
                  <c:v>-282813.90671529697</c:v>
                </c:pt>
                <c:pt idx="4">
                  <c:v>-21760.293011374481</c:v>
                </c:pt>
                <c:pt idx="5">
                  <c:v>315844.32968336524</c:v>
                </c:pt>
                <c:pt idx="6">
                  <c:v>472116.85526770138</c:v>
                </c:pt>
                <c:pt idx="7">
                  <c:v>482896.92113863304</c:v>
                </c:pt>
                <c:pt idx="8">
                  <c:v>463379.35073435237</c:v>
                </c:pt>
                <c:pt idx="9">
                  <c:v>521005.08554767317</c:v>
                </c:pt>
                <c:pt idx="10">
                  <c:v>633480.89999999979</c:v>
                </c:pt>
                <c:pt idx="11">
                  <c:v>585132.99999999977</c:v>
                </c:pt>
                <c:pt idx="12">
                  <c:v>576732.99999999977</c:v>
                </c:pt>
                <c:pt idx="13">
                  <c:v>576732.99999999977</c:v>
                </c:pt>
                <c:pt idx="14">
                  <c:v>576732.99999999977</c:v>
                </c:pt>
                <c:pt idx="15">
                  <c:v>576732.99999999977</c:v>
                </c:pt>
                <c:pt idx="16">
                  <c:v>576732.99999999977</c:v>
                </c:pt>
                <c:pt idx="17">
                  <c:v>576732.99999999977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4B-475E-9494-97CEC1ED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934160"/>
        <c:axId val="771941232"/>
      </c:lineChart>
      <c:dateAx>
        <c:axId val="771934160"/>
        <c:scaling>
          <c:orientation val="minMax"/>
        </c:scaling>
        <c:delete val="0"/>
        <c:axPos val="b"/>
        <c:numFmt formatCode="[$-416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41232"/>
        <c:crosses val="autoZero"/>
        <c:auto val="1"/>
        <c:lblOffset val="100"/>
        <c:baseTimeUnit val="months"/>
      </c:dateAx>
      <c:valAx>
        <c:axId val="77194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3416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94991335937255"/>
          <c:y val="0.38418866292970821"/>
          <c:w val="9.4408577936286792E-2"/>
          <c:h val="0.16371269725594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ENTRADA X SAÍDA</a:t>
            </a:r>
          </a:p>
        </c:rich>
      </c:tx>
      <c:layout>
        <c:manualLayout>
          <c:xMode val="edge"/>
          <c:yMode val="edge"/>
          <c:x val="2.2397687299837283E-2"/>
          <c:y val="4.9301194389368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188510568448367E-2"/>
          <c:y val="0.2082476597094591"/>
          <c:w val="0.87098299253744504"/>
          <c:h val="0.61454169401189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'FLUXO DE CAIXA'!$C$7</c:f>
              <c:strCache>
                <c:ptCount val="1"/>
                <c:pt idx="0">
                  <c:v>ENTRADA (+)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'FLUXO DE CAIXA'!$D$6:$U$6</c:f>
              <c:numCache>
                <c:formatCode>[$-416]mmm\-yy;@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</c:numCache>
            </c:numRef>
          </c:cat>
          <c:val>
            <c:numRef>
              <c:f>'FLUXO DE CAIXA'!$D$7:$U$7</c:f>
              <c:numCache>
                <c:formatCode>#,##0</c:formatCode>
                <c:ptCount val="18"/>
                <c:pt idx="0">
                  <c:v>0</c:v>
                </c:pt>
                <c:pt idx="1">
                  <c:v>200000</c:v>
                </c:pt>
                <c:pt idx="2">
                  <c:v>200000</c:v>
                </c:pt>
                <c:pt idx="3">
                  <c:v>400000</c:v>
                </c:pt>
                <c:pt idx="4">
                  <c:v>600000</c:v>
                </c:pt>
                <c:pt idx="5">
                  <c:v>600000</c:v>
                </c:pt>
                <c:pt idx="6">
                  <c:v>400000</c:v>
                </c:pt>
                <c:pt idx="7">
                  <c:v>200000</c:v>
                </c:pt>
                <c:pt idx="8">
                  <c:v>200000</c:v>
                </c:pt>
                <c:pt idx="9">
                  <c:v>200000</c:v>
                </c:pt>
                <c:pt idx="10">
                  <c:v>200000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3-41DE-8852-D6A4C0B912C5}"/>
            </c:ext>
          </c:extLst>
        </c:ser>
        <c:ser>
          <c:idx val="1"/>
          <c:order val="1"/>
          <c:tx>
            <c:strRef>
              <c:f>'FLUXO DE CAIXA'!$C$8</c:f>
              <c:strCache>
                <c:ptCount val="1"/>
                <c:pt idx="0">
                  <c:v>SAÍDA (-)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'FLUXO DE CAIXA'!$D$6:$U$6</c:f>
              <c:numCache>
                <c:formatCode>[$-416]mmm\-yy;@</c:formatCode>
                <c:ptCount val="18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</c:numCache>
            </c:numRef>
          </c:cat>
          <c:val>
            <c:numRef>
              <c:f>'FLUXO DE CAIXA'!$D$8:$U$8</c:f>
              <c:numCache>
                <c:formatCode>#,##0</c:formatCode>
                <c:ptCount val="18"/>
                <c:pt idx="0">
                  <c:v>125800</c:v>
                </c:pt>
                <c:pt idx="1">
                  <c:v>175707.01536111027</c:v>
                </c:pt>
                <c:pt idx="2">
                  <c:v>351398.53103390604</c:v>
                </c:pt>
                <c:pt idx="3">
                  <c:v>429908.36032028066</c:v>
                </c:pt>
                <c:pt idx="4">
                  <c:v>338946.38629607751</c:v>
                </c:pt>
                <c:pt idx="5">
                  <c:v>262395.37730526028</c:v>
                </c:pt>
                <c:pt idx="6">
                  <c:v>243727.47441566386</c:v>
                </c:pt>
                <c:pt idx="7">
                  <c:v>189219.93412906834</c:v>
                </c:pt>
                <c:pt idx="8">
                  <c:v>219517.57040428068</c:v>
                </c:pt>
                <c:pt idx="9">
                  <c:v>142374.2651866792</c:v>
                </c:pt>
                <c:pt idx="10">
                  <c:v>87524.185547673347</c:v>
                </c:pt>
                <c:pt idx="11">
                  <c:v>48347.9</c:v>
                </c:pt>
                <c:pt idx="12">
                  <c:v>8400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3-41DE-8852-D6A4C0B9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956208"/>
        <c:axId val="771950800"/>
      </c:barChart>
      <c:dateAx>
        <c:axId val="771956208"/>
        <c:scaling>
          <c:orientation val="minMax"/>
        </c:scaling>
        <c:delete val="0"/>
        <c:axPos val="b"/>
        <c:numFmt formatCode="[$-416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50800"/>
        <c:crosses val="autoZero"/>
        <c:auto val="1"/>
        <c:lblOffset val="100"/>
        <c:baseTimeUnit val="months"/>
      </c:dateAx>
      <c:valAx>
        <c:axId val="77195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562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1387929</xdr:colOff>
      <xdr:row>22</xdr:row>
      <xdr:rowOff>57150</xdr:rowOff>
    </xdr:from>
    <xdr:to>
      <xdr:col>23</xdr:col>
      <xdr:colOff>470647</xdr:colOff>
      <xdr:row>36</xdr:row>
      <xdr:rowOff>100853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DC734A-2B2F-4E08-91A6-5F99D325E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1374322</xdr:colOff>
      <xdr:row>11</xdr:row>
      <xdr:rowOff>143557</xdr:rowOff>
    </xdr:from>
    <xdr:to>
      <xdr:col>22</xdr:col>
      <xdr:colOff>653144</xdr:colOff>
      <xdr:row>21</xdr:row>
      <xdr:rowOff>176895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3AF440-51E5-4A58-90AB-7444E3661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455.708560300925" createdVersion="7" refreshedVersion="7" minRefreshableVersion="3" recordCount="209" xr:uid="{A45060A0-61DB-4471-A710-F1FFA4F12AE9}">
  <cacheSource type="worksheet">
    <worksheetSource ref="B1:N210" sheet="ORÇAMENTO GERAL"/>
  </cacheSource>
  <cacheFields count="13">
    <cacheField name="TIPO" numFmtId="0">
      <sharedItems containsBlank="1" count="3">
        <s v="CUSTO"/>
        <m/>
        <s v="DESPESA"/>
      </sharedItems>
    </cacheField>
    <cacheField name="ITEM" numFmtId="0">
      <sharedItems containsMixedTypes="1" containsNumber="1" containsInteger="1" minValue="1" maxValue="8"/>
    </cacheField>
    <cacheField name="grupo" numFmtId="0">
      <sharedItems/>
    </cacheField>
    <cacheField name="DESCRIÇÃO" numFmtId="0">
      <sharedItems/>
    </cacheField>
    <cacheField name="Und" numFmtId="0">
      <sharedItems containsBlank="1"/>
    </cacheField>
    <cacheField name="Quant." numFmtId="0">
      <sharedItems containsString="0" containsBlank="1" containsNumber="1" containsInteger="1" minValue="1" maxValue="16" count="8">
        <n v="1"/>
        <m/>
        <n v="4"/>
        <n v="6"/>
        <n v="2"/>
        <n v="11"/>
        <n v="3"/>
        <n v="16"/>
      </sharedItems>
    </cacheField>
    <cacheField name="Valor Unit" numFmtId="164">
      <sharedItems containsString="0" containsBlank="1" containsNumber="1" containsInteger="1" minValue="50" maxValue="100000"/>
    </cacheField>
    <cacheField name="Total" numFmtId="44">
      <sharedItems containsString="0" containsBlank="1" containsNumber="1" minValue="100" maxValue="1534647.0000000002"/>
    </cacheField>
    <cacheField name="CLASSIFICAÇÃO 1" numFmtId="0">
      <sharedItems containsBlank="1"/>
    </cacheField>
    <cacheField name="CLASSIFICAÇÃO 2" numFmtId="0">
      <sharedItems containsBlank="1" count="7">
        <s v="Quantidade"/>
        <m/>
        <s v="Tempo - Processo"/>
        <s v="Início"/>
        <s v="Término"/>
        <s v="Tempo - Prazo Total"/>
        <s v="Vendas"/>
      </sharedItems>
    </cacheField>
    <cacheField name="CLASSIFICAÇÃO 3" numFmtId="0">
      <sharedItems containsBlank="1" count="4">
        <m/>
        <s v="Processo"/>
        <s v="Evento"/>
        <s v="Total"/>
      </sharedItems>
    </cacheField>
    <cacheField name="EVENTO/PROCESSO LOB" numFmtId="0">
      <sharedItems containsBlank="1" count="21">
        <m/>
        <s v="Locação até Contrapiso"/>
        <s v="Alvenaria Estrutural - Início"/>
        <s v="Alvenaria Estrutural até Reboco Externo"/>
        <s v="Reboco Externo - Término"/>
        <s v="Alvenaria até Gesso Liso"/>
        <s v="Pintura Externa"/>
        <s v="Pintura Externa - Início"/>
        <s v="Pintura Externa - Término"/>
        <s v="Estrutura Moldado in Loco"/>
        <s v="Fundação - Estrutura Moldado in Loco"/>
        <s v="Mobilização do Canteiro"/>
        <s v="Desmobilização do Canteiro"/>
        <s v="prazo total"/>
        <s v="Gesso Liso - Início"/>
        <s v="Estacas Helice Continua - Término"/>
        <s v="Alvenaria Estrutural"/>
        <s v="Projeto"/>
        <s v="Vistoria"/>
        <s v="Entrega"/>
        <s v="Terreno"/>
      </sharedItems>
    </cacheField>
    <cacheField name="Data" numFmtId="168">
      <sharedItems containsDate="1" containsBlank="1" containsMixedTypes="1" minDate="2021-07-31T00:00:00" maxDate="2022-07-02T00:00:00" count="16">
        <s v="desembolso curva s"/>
        <m/>
        <s v="verifical manual"/>
        <d v="2021-09-27T00:00:00"/>
        <d v="2022-01-14T00:00:00"/>
        <d v="2022-03-10T00:00:00"/>
        <d v="2022-04-21T00:00:00"/>
        <d v="2021-08-01T00:00:00"/>
        <d v="2022-07-01T00:00:00"/>
        <s v="prazo total"/>
        <d v="2022-01-19T00:00:00"/>
        <d v="2021-09-06T00:00:00"/>
        <d v="2021-07-31T00:00:00"/>
        <d v="2022-06-01T00:00:00"/>
        <s v="vendas"/>
        <s v="CURVA 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n v="1"/>
    <s v="Edificação (Vico ou Orçafascio)"/>
    <s v="Edificação (Vico ou Orçafascio)"/>
    <m/>
    <x v="0"/>
    <m/>
    <n v="1534647.0000000002"/>
    <m/>
    <x v="0"/>
    <x v="0"/>
    <x v="0"/>
    <x v="0"/>
  </r>
  <r>
    <x v="1"/>
    <n v="2"/>
    <s v="EQUIPAMENTOS E FERRAMENTAS"/>
    <s v="EQUIPAMENTOS E FERRAMENTAS"/>
    <m/>
    <x v="1"/>
    <m/>
    <n v="37200"/>
    <m/>
    <x v="1"/>
    <x v="0"/>
    <x v="0"/>
    <x v="1"/>
  </r>
  <r>
    <x v="1"/>
    <s v="2.1"/>
    <s v="EQUIPAMENTOS E FERRAMENTAS"/>
    <s v="ESCAVAÇÃO"/>
    <m/>
    <x v="1"/>
    <m/>
    <n v="11000"/>
    <m/>
    <x v="1"/>
    <x v="0"/>
    <x v="0"/>
    <x v="1"/>
  </r>
  <r>
    <x v="0"/>
    <s v="2.1.1"/>
    <s v="EQUIPAMENTOS E FERRAMENTAS"/>
    <s v="Locação de Retroescavadeira "/>
    <s v="mês"/>
    <x v="0"/>
    <n v="11000"/>
    <n v="11000"/>
    <s v="Variável"/>
    <x v="2"/>
    <x v="1"/>
    <x v="1"/>
    <x v="2"/>
  </r>
  <r>
    <x v="0"/>
    <s v="2.1.2"/>
    <s v="EQUIPAMENTOS E FERRAMENTAS"/>
    <s v="Locação de Bobcat"/>
    <s v="mês"/>
    <x v="1"/>
    <m/>
    <m/>
    <s v="Variável"/>
    <x v="2"/>
    <x v="1"/>
    <x v="0"/>
    <x v="1"/>
  </r>
  <r>
    <x v="1"/>
    <s v="2.2"/>
    <s v="EQUIPAMENTOS E FERRAMENTAS"/>
    <s v="ANDAIME FACHADEIRO"/>
    <m/>
    <x v="1"/>
    <m/>
    <n v="14000"/>
    <m/>
    <x v="1"/>
    <x v="0"/>
    <x v="0"/>
    <x v="1"/>
  </r>
  <r>
    <x v="0"/>
    <s v="2.2.2"/>
    <s v="EQUIPAMENTOS E FERRAMENTAS"/>
    <s v="Andaime Fachadeiro - Montagem + Frete"/>
    <s v="evento"/>
    <x v="0"/>
    <n v="1000"/>
    <n v="1000"/>
    <s v="Fixo"/>
    <x v="3"/>
    <x v="1"/>
    <x v="2"/>
    <x v="3"/>
  </r>
  <r>
    <x v="0"/>
    <s v="2.2.3"/>
    <s v="EQUIPAMENTOS E FERRAMENTAS"/>
    <s v="Andaime Fachadeiro - Locação"/>
    <s v="mês"/>
    <x v="2"/>
    <n v="3000"/>
    <n v="12000"/>
    <s v="Variável"/>
    <x v="2"/>
    <x v="1"/>
    <x v="3"/>
    <x v="2"/>
  </r>
  <r>
    <x v="0"/>
    <s v="2.2.4"/>
    <s v="EQUIPAMENTOS E FERRAMENTAS"/>
    <s v="Andaime Fachadeiro - Desmontagem + Frete"/>
    <s v="evento"/>
    <x v="0"/>
    <n v="1000"/>
    <n v="1000"/>
    <s v="Fixo"/>
    <x v="4"/>
    <x v="1"/>
    <x v="4"/>
    <x v="4"/>
  </r>
  <r>
    <x v="1"/>
    <s v="2.3"/>
    <s v="EQUIPAMENTOS E FERRAMENTAS"/>
    <s v="TRANSPORTE HORIZONTAL E VERTICAL"/>
    <m/>
    <x v="1"/>
    <m/>
    <n v="9000"/>
    <m/>
    <x v="1"/>
    <x v="0"/>
    <x v="0"/>
    <x v="1"/>
  </r>
  <r>
    <x v="0"/>
    <s v="2.3.1"/>
    <s v="EQUIPAMENTOS E FERRAMENTAS"/>
    <s v="Locação de Caminhão Munck"/>
    <s v="mês"/>
    <x v="3"/>
    <n v="1500"/>
    <n v="9000"/>
    <s v="Variável"/>
    <x v="2"/>
    <x v="1"/>
    <x v="5"/>
    <x v="2"/>
  </r>
  <r>
    <x v="0"/>
    <s v="2.3.2"/>
    <s v="EQUIPAMENTOS E FERRAMENTAS"/>
    <s v="Locação de Skytrack"/>
    <s v="mês"/>
    <x v="1"/>
    <m/>
    <m/>
    <s v="Variável"/>
    <x v="2"/>
    <x v="1"/>
    <x v="0"/>
    <x v="1"/>
  </r>
  <r>
    <x v="1"/>
    <s v="2.4"/>
    <s v="EQUIPAMENTOS E FERRAMENTAS"/>
    <s v="ELEVADOR CREMALHEIRA"/>
    <m/>
    <x v="1"/>
    <m/>
    <m/>
    <m/>
    <x v="1"/>
    <x v="0"/>
    <x v="0"/>
    <x v="1"/>
  </r>
  <r>
    <x v="0"/>
    <s v="2.4.1"/>
    <s v="EQUIPAMENTOS E FERRAMENTAS"/>
    <s v="Elevador Cremalheira - Mobilização"/>
    <s v="evento"/>
    <x v="1"/>
    <m/>
    <m/>
    <s v="Fixo"/>
    <x v="3"/>
    <x v="1"/>
    <x v="0"/>
    <x v="1"/>
  </r>
  <r>
    <x v="0"/>
    <s v="2.4.2"/>
    <s v="EQUIPAMENTOS E FERRAMENTAS"/>
    <s v="Elevador Cremalheira - Locação "/>
    <s v="mês"/>
    <x v="1"/>
    <m/>
    <m/>
    <s v="Variável"/>
    <x v="2"/>
    <x v="1"/>
    <x v="0"/>
    <x v="1"/>
  </r>
  <r>
    <x v="0"/>
    <s v="2.4.3"/>
    <s v="EQUIPAMENTOS E FERRAMENTAS"/>
    <s v="Elevador Cremalheira - Desmobilização"/>
    <s v="evento"/>
    <x v="1"/>
    <m/>
    <m/>
    <s v="Fixo"/>
    <x v="4"/>
    <x v="1"/>
    <x v="0"/>
    <x v="1"/>
  </r>
  <r>
    <x v="1"/>
    <s v="2.5"/>
    <s v="EQUIPAMENTOS E FERRAMENTAS"/>
    <s v="BALANCIM"/>
    <m/>
    <x v="1"/>
    <m/>
    <n v="2300"/>
    <m/>
    <x v="1"/>
    <x v="0"/>
    <x v="0"/>
    <x v="1"/>
  </r>
  <r>
    <x v="0"/>
    <s v="2.5.1"/>
    <s v="EQUIPAMENTOS E FERRAMENTAS"/>
    <s v="Andaime suspenso elétrico (balancim) - Locação"/>
    <s v="mês"/>
    <x v="4"/>
    <n v="500"/>
    <n v="1000"/>
    <s v="Variável"/>
    <x v="2"/>
    <x v="1"/>
    <x v="6"/>
    <x v="2"/>
  </r>
  <r>
    <x v="0"/>
    <s v="2.5.2"/>
    <s v="EQUIPAMENTOS E FERRAMENTAS"/>
    <s v="Andaime suspenso elétrico (balancim) - Troca de Fachada"/>
    <s v="evento"/>
    <x v="5"/>
    <n v="100"/>
    <n v="1100"/>
    <s v="Fixo"/>
    <x v="3"/>
    <x v="1"/>
    <x v="7"/>
    <x v="5"/>
  </r>
  <r>
    <x v="0"/>
    <s v="2.5.3"/>
    <s v="EQUIPAMENTOS E FERRAMENTAS"/>
    <s v="Andaime suspenso elétrico (balancim) - Montagem "/>
    <s v="evento"/>
    <x v="0"/>
    <n v="100"/>
    <n v="100"/>
    <s v="Fixo"/>
    <x v="3"/>
    <x v="1"/>
    <x v="7"/>
    <x v="5"/>
  </r>
  <r>
    <x v="0"/>
    <s v="2.5.4"/>
    <s v="EQUIPAMENTOS E FERRAMENTAS"/>
    <s v="Andaime suspenso elétrico (balancim) - Desmontagem"/>
    <s v="evento"/>
    <x v="0"/>
    <n v="100"/>
    <n v="100"/>
    <s v="Fixo"/>
    <x v="4"/>
    <x v="1"/>
    <x v="8"/>
    <x v="6"/>
  </r>
  <r>
    <x v="1"/>
    <s v="2.6"/>
    <s v="EQUIPAMENTOS E FERRAMENTAS"/>
    <s v="LOCAÇÃO DE EQUIPAMENTOS GERAIS"/>
    <m/>
    <x v="1"/>
    <m/>
    <n v="900"/>
    <m/>
    <x v="1"/>
    <x v="0"/>
    <x v="0"/>
    <x v="1"/>
  </r>
  <r>
    <x v="0"/>
    <s v="2.6.1"/>
    <s v="EQUIPAMENTOS E FERRAMENTAS"/>
    <s v="Locação de Escoras Metálicas"/>
    <s v="mês"/>
    <x v="4"/>
    <n v="150"/>
    <n v="300"/>
    <s v="Variável"/>
    <x v="2"/>
    <x v="1"/>
    <x v="9"/>
    <x v="2"/>
  </r>
  <r>
    <x v="0"/>
    <s v="2.6.2"/>
    <s v="EQUIPAMENTOS E FERRAMENTAS"/>
    <s v="Locação de Lava Jato"/>
    <s v="mês"/>
    <x v="1"/>
    <m/>
    <m/>
    <s v="Variável"/>
    <x v="2"/>
    <x v="1"/>
    <x v="0"/>
    <x v="1"/>
  </r>
  <r>
    <x v="0"/>
    <s v="2.6.3"/>
    <s v="EQUIPAMENTOS E FERRAMENTAS"/>
    <s v="Locação de Betoneira"/>
    <s v="mês"/>
    <x v="1"/>
    <m/>
    <m/>
    <s v="Variável"/>
    <x v="2"/>
    <x v="1"/>
    <x v="0"/>
    <x v="1"/>
  </r>
  <r>
    <x v="0"/>
    <s v="2.6.4"/>
    <s v="EQUIPAMENTOS E FERRAMENTAS"/>
    <s v="Locação de Serra circular"/>
    <s v="mês"/>
    <x v="6"/>
    <n v="200"/>
    <n v="600"/>
    <s v="Variável"/>
    <x v="2"/>
    <x v="1"/>
    <x v="10"/>
    <x v="2"/>
  </r>
  <r>
    <x v="0"/>
    <s v="2.6.5"/>
    <s v="EQUIPAMENTOS E FERRAMENTAS"/>
    <s v="Locação de Bomba de recalque e submersa"/>
    <s v="mês"/>
    <x v="1"/>
    <m/>
    <m/>
    <s v="Variável"/>
    <x v="2"/>
    <x v="1"/>
    <x v="0"/>
    <x v="1"/>
  </r>
  <r>
    <x v="0"/>
    <s v="2.6.6"/>
    <s v="EQUIPAMENTOS E FERRAMENTAS"/>
    <s v="Locação de Martelo Rompedor "/>
    <s v="mês"/>
    <x v="1"/>
    <m/>
    <m/>
    <s v="Variável"/>
    <x v="2"/>
    <x v="1"/>
    <x v="0"/>
    <x v="1"/>
  </r>
  <r>
    <x v="1"/>
    <s v="2.7"/>
    <s v="EQUIPAMENTOS E FERRAMENTAS"/>
    <s v="AQUISIÇÃO DE EQUIPAMENTOS GERAIS"/>
    <m/>
    <x v="1"/>
    <m/>
    <m/>
    <m/>
    <x v="1"/>
    <x v="0"/>
    <x v="0"/>
    <x v="1"/>
  </r>
  <r>
    <x v="0"/>
    <s v="2.7.1"/>
    <s v="EQUIPAMENTOS E FERRAMENTAS"/>
    <s v="Aquisição de Lava Jato"/>
    <s v="und"/>
    <x v="1"/>
    <m/>
    <m/>
    <s v="Fixo"/>
    <x v="3"/>
    <x v="1"/>
    <x v="0"/>
    <x v="1"/>
  </r>
  <r>
    <x v="0"/>
    <s v="2.7.2"/>
    <s v="EQUIPAMENTOS E FERRAMENTAS"/>
    <s v="Aquisição de Betoneira"/>
    <s v="und"/>
    <x v="1"/>
    <m/>
    <m/>
    <s v="Fixo"/>
    <x v="3"/>
    <x v="1"/>
    <x v="0"/>
    <x v="1"/>
  </r>
  <r>
    <x v="0"/>
    <s v="2.7.3"/>
    <s v="EQUIPAMENTOS E FERRAMENTAS"/>
    <s v="Aquisição de Serra circular"/>
    <s v="und"/>
    <x v="1"/>
    <m/>
    <m/>
    <s v="Fixo"/>
    <x v="3"/>
    <x v="1"/>
    <x v="0"/>
    <x v="1"/>
  </r>
  <r>
    <x v="0"/>
    <s v="2.7.4"/>
    <s v="EQUIPAMENTOS E FERRAMENTAS"/>
    <s v="Aquisição de Bomba de recalque e submersa"/>
    <s v="und"/>
    <x v="1"/>
    <m/>
    <m/>
    <s v="Fixo"/>
    <x v="3"/>
    <x v="1"/>
    <x v="0"/>
    <x v="1"/>
  </r>
  <r>
    <x v="0"/>
    <s v="2.7.5"/>
    <s v="EQUIPAMENTOS E FERRAMENTAS"/>
    <s v="Aquisição de Martelo Rompedor "/>
    <s v="und"/>
    <x v="1"/>
    <m/>
    <m/>
    <s v="Fixo"/>
    <x v="3"/>
    <x v="1"/>
    <x v="0"/>
    <x v="1"/>
  </r>
  <r>
    <x v="1"/>
    <s v="2.8"/>
    <s v="EQUIPAMENTOS E FERRAMENTAS"/>
    <s v="AQUISIÇÃO DE FERRAMENTAS"/>
    <m/>
    <x v="1"/>
    <m/>
    <m/>
    <m/>
    <x v="1"/>
    <x v="0"/>
    <x v="0"/>
    <x v="1"/>
  </r>
  <r>
    <x v="0"/>
    <s v="2.8.1"/>
    <s v="EQUIPAMENTOS E FERRAMENTAS"/>
    <s v="Carrinho de Mão"/>
    <s v="und"/>
    <x v="1"/>
    <m/>
    <m/>
    <s v="Fixo"/>
    <x v="3"/>
    <x v="1"/>
    <x v="0"/>
    <x v="1"/>
  </r>
  <r>
    <x v="0"/>
    <s v="2.8.2"/>
    <s v="EQUIPAMENTOS E FERRAMENTAS"/>
    <s v="Nível à Laser"/>
    <s v="und"/>
    <x v="1"/>
    <m/>
    <m/>
    <s v="Fixo"/>
    <x v="3"/>
    <x v="1"/>
    <x v="0"/>
    <x v="1"/>
  </r>
  <r>
    <x v="1"/>
    <n v="3"/>
    <s v="INSTALAÇÕES PROVISÓRIAS E CONSUMOS"/>
    <s v="INSTALAÇÕES PROVISÓRIAS E CONSUMOS"/>
    <m/>
    <x v="1"/>
    <m/>
    <n v="70520"/>
    <m/>
    <x v="1"/>
    <x v="0"/>
    <x v="0"/>
    <x v="1"/>
  </r>
  <r>
    <x v="1"/>
    <s v="3.1"/>
    <s v="INSTALAÇÕES PROVISÓRIAS E CONSUMOS"/>
    <s v="CONSTRUÇÃO DAS INSTALAÇÕES PROVISÓRIAS"/>
    <m/>
    <x v="1"/>
    <m/>
    <n v="18500"/>
    <m/>
    <x v="1"/>
    <x v="0"/>
    <x v="0"/>
    <x v="1"/>
  </r>
  <r>
    <x v="0"/>
    <s v="3.1.1"/>
    <s v="INSTALAÇÕES PROVISÓRIAS E CONSUMOS"/>
    <s v="Limpeza do terreno (em frente do empreendimento)"/>
    <s v="vb"/>
    <x v="0"/>
    <n v="500"/>
    <n v="500"/>
    <s v="Fixo"/>
    <x v="3"/>
    <x v="2"/>
    <x v="11"/>
    <x v="7"/>
  </r>
  <r>
    <x v="0"/>
    <s v="3.1.2"/>
    <s v="INSTALAÇÕES PROVISÓRIAS E CONSUMOS"/>
    <s v="Tapume da obra"/>
    <s v="vb"/>
    <x v="0"/>
    <n v="1000"/>
    <n v="1000"/>
    <s v="Fixo"/>
    <x v="3"/>
    <x v="2"/>
    <x v="11"/>
    <x v="7"/>
  </r>
  <r>
    <x v="0"/>
    <s v="3.1.3"/>
    <s v="INSTALAÇÕES PROVISÓRIAS E CONSUMOS"/>
    <s v="Construção das instalações provisórias (escritório/refeitório/almoxarifado) - material"/>
    <s v="vb"/>
    <x v="0"/>
    <n v="5000"/>
    <n v="5000"/>
    <s v="Fixo"/>
    <x v="3"/>
    <x v="2"/>
    <x v="11"/>
    <x v="7"/>
  </r>
  <r>
    <x v="0"/>
    <s v="3.1.4"/>
    <s v="INSTALAÇÕES PROVISÓRIAS E CONSUMOS"/>
    <s v="Construção das instalações provisórias (escritório/refeitório/almoxarifado) - mão de obra"/>
    <s v="vb"/>
    <x v="0"/>
    <n v="1000"/>
    <n v="1000"/>
    <s v="Fixo"/>
    <x v="3"/>
    <x v="2"/>
    <x v="11"/>
    <x v="7"/>
  </r>
  <r>
    <x v="0"/>
    <s v="3.1.5"/>
    <s v="INSTALAÇÕES PROVISÓRIAS E CONSUMOS"/>
    <s v="Instalações elétricas provisórias canteiro - material"/>
    <s v="vb"/>
    <x v="0"/>
    <n v="500"/>
    <n v="500"/>
    <s v="Fixo"/>
    <x v="3"/>
    <x v="2"/>
    <x v="11"/>
    <x v="7"/>
  </r>
  <r>
    <x v="0"/>
    <s v="3.1.6"/>
    <s v="INSTALAÇÕES PROVISÓRIAS E CONSUMOS"/>
    <s v="Instalações elétricas provisórias canteiro - mão de obra"/>
    <s v="vb"/>
    <x v="0"/>
    <n v="500"/>
    <n v="500"/>
    <s v="Fixo"/>
    <x v="3"/>
    <x v="2"/>
    <x v="11"/>
    <x v="7"/>
  </r>
  <r>
    <x v="0"/>
    <s v="3.1.7"/>
    <s v="INSTALAÇÕES PROVISÓRIAS E CONSUMOS"/>
    <s v="Aquisição de mobiliário para escritório e refeitório"/>
    <s v="vb"/>
    <x v="0"/>
    <n v="2500"/>
    <n v="2500"/>
    <s v="Fixo"/>
    <x v="3"/>
    <x v="2"/>
    <x v="11"/>
    <x v="7"/>
  </r>
  <r>
    <x v="0"/>
    <s v="3.1.8"/>
    <s v="INSTALAÇÕES PROVISÓRIAS E CONSUMOS"/>
    <s v="Aquisição de equipamentos de informatica e telefonia"/>
    <s v="vb"/>
    <x v="0"/>
    <n v="5000"/>
    <n v="5000"/>
    <s v="Fixo"/>
    <x v="3"/>
    <x v="2"/>
    <x v="11"/>
    <x v="7"/>
  </r>
  <r>
    <x v="0"/>
    <s v="3.1.9"/>
    <s v="INSTALAÇÕES PROVISÓRIAS E CONSUMOS"/>
    <s v="Frete para importação de materiais de outras obras"/>
    <s v="vb"/>
    <x v="0"/>
    <n v="500"/>
    <n v="500"/>
    <s v="Fixo"/>
    <x v="3"/>
    <x v="2"/>
    <x v="11"/>
    <x v="7"/>
  </r>
  <r>
    <x v="0"/>
    <s v="3.1.10"/>
    <s v="INSTALAÇÕES PROVISÓRIAS E CONSUMOS"/>
    <s v="Bases de concreto armado  (silo, elevador cremalheira, carpintaria)"/>
    <s v="vb"/>
    <x v="0"/>
    <n v="500"/>
    <n v="500"/>
    <s v="Fixo"/>
    <x v="3"/>
    <x v="2"/>
    <x v="11"/>
    <x v="7"/>
  </r>
  <r>
    <x v="0"/>
    <s v="3.1.11"/>
    <s v="INSTALAÇÕES PROVISÓRIAS E CONSUMOS"/>
    <s v="Desmobilização do canteiro de obras"/>
    <s v="vb"/>
    <x v="0"/>
    <n v="1000"/>
    <n v="1000"/>
    <s v="Fixo"/>
    <x v="4"/>
    <x v="2"/>
    <x v="12"/>
    <x v="8"/>
  </r>
  <r>
    <x v="0"/>
    <s v="3.1.12"/>
    <s v="INSTALAÇÕES PROVISÓRIAS E CONSUMOS"/>
    <s v="Rachão - Acesso"/>
    <s v="vb"/>
    <x v="0"/>
    <n v="250"/>
    <n v="250"/>
    <s v="Fixo"/>
    <x v="3"/>
    <x v="2"/>
    <x v="11"/>
    <x v="7"/>
  </r>
  <r>
    <x v="0"/>
    <s v="3.1.13"/>
    <s v="INSTALAÇÕES PROVISÓRIAS E CONSUMOS"/>
    <s v="Placa de Obra"/>
    <s v="vb"/>
    <x v="0"/>
    <n v="250"/>
    <n v="250"/>
    <s v="Fixo"/>
    <x v="3"/>
    <x v="2"/>
    <x v="11"/>
    <x v="7"/>
  </r>
  <r>
    <x v="1"/>
    <s v="3.2"/>
    <s v="INSTALAÇÕES PROVISÓRIAS E CONSUMOS"/>
    <s v="LIMPEZA DA OBRA"/>
    <m/>
    <x v="1"/>
    <m/>
    <n v="3550"/>
    <m/>
    <x v="1"/>
    <x v="0"/>
    <x v="0"/>
    <x v="1"/>
  </r>
  <r>
    <x v="0"/>
    <s v="3.2.1"/>
    <s v="INSTALAÇÕES PROVISÓRIAS E CONSUMOS"/>
    <s v="Locação de entulho "/>
    <s v="mês"/>
    <x v="5"/>
    <n v="300"/>
    <n v="3300"/>
    <s v="Variável"/>
    <x v="5"/>
    <x v="3"/>
    <x v="13"/>
    <x v="9"/>
  </r>
  <r>
    <x v="0"/>
    <s v="3.2.2"/>
    <s v="INSTALAÇÕES PROVISÓRIAS E CONSUMOS"/>
    <s v="Dutos para retirada de entulhos"/>
    <s v="vb"/>
    <x v="0"/>
    <n v="250"/>
    <n v="250"/>
    <s v="Fixo"/>
    <x v="3"/>
    <x v="1"/>
    <x v="14"/>
    <x v="10"/>
  </r>
  <r>
    <x v="1"/>
    <s v="3.3"/>
    <s v="INSTALAÇÕES PROVISÓRIAS E CONSUMOS"/>
    <s v="DESPESAS MENSAIS"/>
    <m/>
    <x v="1"/>
    <m/>
    <n v="7370"/>
    <m/>
    <x v="1"/>
    <x v="0"/>
    <x v="0"/>
    <x v="1"/>
  </r>
  <r>
    <x v="0"/>
    <s v="3.3.1"/>
    <s v="INSTALAÇÕES PROVISÓRIAS E CONSUMOS"/>
    <s v="Aluguel de container sanitário"/>
    <s v="mês"/>
    <x v="5"/>
    <n v="150"/>
    <n v="1650"/>
    <s v="Variável"/>
    <x v="5"/>
    <x v="3"/>
    <x v="13"/>
    <x v="9"/>
  </r>
  <r>
    <x v="0"/>
    <s v="3.3.2"/>
    <s v="INSTALAÇÕES PROVISÓRIAS E CONSUMOS"/>
    <s v="Material de escritorio de obra (expediente)"/>
    <s v="mês"/>
    <x v="5"/>
    <n v="50"/>
    <n v="550"/>
    <s v="Variável"/>
    <x v="5"/>
    <x v="3"/>
    <x v="13"/>
    <x v="9"/>
  </r>
  <r>
    <x v="0"/>
    <s v="3.3.4"/>
    <s v="INSTALAÇÕES PROVISÓRIAS E CONSUMOS"/>
    <s v="Despesas com Farmácia"/>
    <s v="mês"/>
    <x v="5"/>
    <n v="50"/>
    <n v="550"/>
    <s v="Variável"/>
    <x v="5"/>
    <x v="3"/>
    <x v="13"/>
    <x v="9"/>
  </r>
  <r>
    <x v="0"/>
    <s v="3.3.5"/>
    <s v="INSTALAÇÕES PROVISÓRIAS E CONSUMOS"/>
    <s v="Conta de Água"/>
    <s v="mês"/>
    <x v="5"/>
    <n v="80"/>
    <n v="880"/>
    <s v="Variável"/>
    <x v="5"/>
    <x v="3"/>
    <x v="13"/>
    <x v="9"/>
  </r>
  <r>
    <x v="0"/>
    <s v="3.3.6"/>
    <s v="INSTALAÇÕES PROVISÓRIAS E CONSUMOS"/>
    <s v="Conta de Luz"/>
    <s v="mês"/>
    <x v="5"/>
    <n v="80"/>
    <n v="880"/>
    <s v="Variável"/>
    <x v="5"/>
    <x v="3"/>
    <x v="13"/>
    <x v="9"/>
  </r>
  <r>
    <x v="0"/>
    <s v="3.3.7"/>
    <s v="INSTALAÇÕES PROVISÓRIAS E CONSUMOS"/>
    <s v="Contas de Telefone e Internet"/>
    <s v="mês"/>
    <x v="5"/>
    <n v="80"/>
    <n v="880"/>
    <s v="Variável"/>
    <x v="5"/>
    <x v="3"/>
    <x v="13"/>
    <x v="9"/>
  </r>
  <r>
    <x v="0"/>
    <s v="3.3.8"/>
    <s v="INSTALAÇÕES PROVISÓRIAS E CONSUMOS"/>
    <s v="Locação gerador"/>
    <s v="mês"/>
    <x v="1"/>
    <m/>
    <m/>
    <s v="Variável"/>
    <x v="5"/>
    <x v="3"/>
    <x v="0"/>
    <x v="1"/>
  </r>
  <r>
    <x v="0"/>
    <s v="3.3.9"/>
    <s v="INSTALAÇÕES PROVISÓRIAS E CONSUMOS"/>
    <s v="Plotagem de projetos"/>
    <s v="mês"/>
    <x v="5"/>
    <n v="100"/>
    <n v="1100"/>
    <s v="Variável"/>
    <x v="5"/>
    <x v="3"/>
    <x v="13"/>
    <x v="9"/>
  </r>
  <r>
    <x v="0"/>
    <s v="3.3.10"/>
    <s v="INSTALAÇÕES PROVISÓRIAS E CONSUMOS"/>
    <s v="Motoboy"/>
    <s v="mês"/>
    <x v="5"/>
    <n v="80"/>
    <n v="880"/>
    <s v="Variável"/>
    <x v="5"/>
    <x v="3"/>
    <x v="13"/>
    <x v="9"/>
  </r>
  <r>
    <x v="1"/>
    <s v="3.4"/>
    <s v="INSTALAÇÕES PROVISÓRIAS E CONSUMOS"/>
    <s v="SEGURANÇA PATRIMONIAL "/>
    <m/>
    <x v="1"/>
    <m/>
    <n v="12000"/>
    <m/>
    <x v="1"/>
    <x v="0"/>
    <x v="0"/>
    <x v="1"/>
  </r>
  <r>
    <x v="0"/>
    <s v="3.4.1"/>
    <s v="INSTALAÇÕES PROVISÓRIAS E CONSUMOS"/>
    <s v="Custo mensal da Vigilância Terceirizada"/>
    <s v="mês"/>
    <x v="5"/>
    <n v="1000"/>
    <n v="11000"/>
    <s v="Variável"/>
    <x v="5"/>
    <x v="3"/>
    <x v="13"/>
    <x v="9"/>
  </r>
  <r>
    <x v="0"/>
    <s v="3.4.2"/>
    <s v="INSTALAÇÕES PROVISÓRIAS E CONSUMOS"/>
    <s v="Gastos com câmeras de segurança, alarme de segurança, sensores de presença etc "/>
    <s v="vb"/>
    <x v="0"/>
    <n v="1000"/>
    <n v="1000"/>
    <s v="Fixo"/>
    <x v="3"/>
    <x v="2"/>
    <x v="11"/>
    <x v="7"/>
  </r>
  <r>
    <x v="1"/>
    <s v="3.5"/>
    <s v="INSTALAÇÕES PROVISÓRIAS E CONSUMOS"/>
    <s v="EPI's"/>
    <m/>
    <x v="1"/>
    <m/>
    <n v="11000"/>
    <m/>
    <x v="1"/>
    <x v="0"/>
    <x v="0"/>
    <x v="1"/>
  </r>
  <r>
    <x v="0"/>
    <s v="3.5.1"/>
    <s v="INSTALAÇÕES PROVISÓRIAS E CONSUMOS"/>
    <s v="Capacetes, botas, calças, camisetas, jaquetas e capas de chuvas"/>
    <s v="mês"/>
    <x v="5"/>
    <n v="250"/>
    <n v="2750"/>
    <s v="Variável"/>
    <x v="5"/>
    <x v="3"/>
    <x v="13"/>
    <x v="9"/>
  </r>
  <r>
    <x v="0"/>
    <s v="3.5.2"/>
    <s v="INSTALAÇÕES PROVISÓRIAS E CONSUMOS"/>
    <s v="Protetor auricular, facial, protetor solar,  máscara e óculos"/>
    <s v="mês"/>
    <x v="5"/>
    <n v="250"/>
    <n v="2750"/>
    <s v="Variável"/>
    <x v="5"/>
    <x v="3"/>
    <x v="13"/>
    <x v="9"/>
  </r>
  <r>
    <x v="0"/>
    <s v="3.5.3"/>
    <s v="INSTALAÇÕES PROVISÓRIAS E CONSUMOS"/>
    <s v="Luvas aventais e abafador"/>
    <s v="mês"/>
    <x v="5"/>
    <n v="250"/>
    <n v="2750"/>
    <s v="Variável"/>
    <x v="5"/>
    <x v="3"/>
    <x v="13"/>
    <x v="9"/>
  </r>
  <r>
    <x v="0"/>
    <s v="3.5.4"/>
    <s v="INSTALAÇÕES PROVISÓRIAS E CONSUMOS"/>
    <s v="Cintos de segurança, talabarte e travaquedas"/>
    <s v="mês"/>
    <x v="5"/>
    <n v="250"/>
    <n v="2750"/>
    <s v="Variável"/>
    <x v="5"/>
    <x v="3"/>
    <x v="13"/>
    <x v="9"/>
  </r>
  <r>
    <x v="1"/>
    <s v="3.6"/>
    <s v="INSTALAÇÕES PROVISÓRIAS E CONSUMOS"/>
    <s v="CONTROLE TECNOLOGICO"/>
    <m/>
    <x v="1"/>
    <m/>
    <n v="1600"/>
    <m/>
    <x v="1"/>
    <x v="0"/>
    <x v="0"/>
    <x v="1"/>
  </r>
  <r>
    <x v="0"/>
    <s v="3.6.1"/>
    <s v="INSTALAÇÕES PROVISÓRIAS E CONSUMOS"/>
    <s v="Controle tecnológico das estacas"/>
    <s v="vb"/>
    <x v="0"/>
    <n v="1000"/>
    <n v="1000"/>
    <s v="Fixo"/>
    <x v="4"/>
    <x v="1"/>
    <x v="15"/>
    <x v="11"/>
  </r>
  <r>
    <x v="0"/>
    <s v="3.6.2"/>
    <s v="INSTALAÇÕES PROVISÓRIAS E CONSUMOS"/>
    <s v="Controle tecnológico de qualidade de concreto e grout"/>
    <s v="mês"/>
    <x v="4"/>
    <n v="150"/>
    <n v="300"/>
    <s v="Variável"/>
    <x v="2"/>
    <x v="1"/>
    <x v="9"/>
    <x v="2"/>
  </r>
  <r>
    <x v="0"/>
    <s v="3.6.3"/>
    <s v="INSTALAÇÕES PROVISÓRIAS E CONSUMOS"/>
    <s v="Controle  tecnológico de qualidade de alvenaria estrutural"/>
    <s v="mês"/>
    <x v="4"/>
    <n v="150"/>
    <n v="300"/>
    <s v="Variável"/>
    <x v="2"/>
    <x v="1"/>
    <x v="16"/>
    <x v="2"/>
  </r>
  <r>
    <x v="1"/>
    <s v="3.7"/>
    <s v="INSTALAÇÕES PROVISÓRIAS E CONSUMOS"/>
    <s v="CONSULTORIAS"/>
    <m/>
    <x v="1"/>
    <m/>
    <n v="16500"/>
    <m/>
    <x v="1"/>
    <x v="0"/>
    <x v="0"/>
    <x v="1"/>
  </r>
  <r>
    <x v="0"/>
    <s v="3.7.1"/>
    <s v="INSTALAÇÕES PROVISÓRIAS E CONSUMOS"/>
    <s v="Consultoria de Segurança"/>
    <s v="mês"/>
    <x v="5"/>
    <n v="500"/>
    <n v="5500"/>
    <s v="Variável"/>
    <x v="5"/>
    <x v="3"/>
    <x v="13"/>
    <x v="9"/>
  </r>
  <r>
    <x v="0"/>
    <s v="3.7.2"/>
    <s v="INSTALAÇÕES PROVISÓRIAS E CONSUMOS"/>
    <s v="Consultoria de Qualidade"/>
    <s v="mês"/>
    <x v="5"/>
    <n v="500"/>
    <n v="5500"/>
    <s v="Variável"/>
    <x v="5"/>
    <x v="3"/>
    <x v="13"/>
    <x v="9"/>
  </r>
  <r>
    <x v="0"/>
    <s v="3.7.3"/>
    <s v="INSTALAÇÕES PROVISÓRIAS E CONSUMOS"/>
    <s v="Consultoria de Planejamento"/>
    <s v="mês"/>
    <x v="5"/>
    <n v="500"/>
    <n v="5500"/>
    <s v="Variável"/>
    <x v="5"/>
    <x v="3"/>
    <x v="13"/>
    <x v="9"/>
  </r>
  <r>
    <x v="1"/>
    <n v="4"/>
    <s v="Administração Central"/>
    <s v="Administração Central"/>
    <m/>
    <x v="1"/>
    <m/>
    <n v="242000"/>
    <m/>
    <x v="1"/>
    <x v="0"/>
    <x v="0"/>
    <x v="1"/>
  </r>
  <r>
    <x v="1"/>
    <s v="4.1"/>
    <s v="Administração Central"/>
    <s v="Engenheiro Residente"/>
    <m/>
    <x v="1"/>
    <m/>
    <n v="66000"/>
    <m/>
    <x v="1"/>
    <x v="0"/>
    <x v="0"/>
    <x v="1"/>
  </r>
  <r>
    <x v="0"/>
    <s v="4.1.1"/>
    <s v="Administração Central"/>
    <s v="Engenheiro Residente - Mês"/>
    <s v="mês"/>
    <x v="5"/>
    <n v="6000"/>
    <n v="66000"/>
    <s v="Variável"/>
    <x v="5"/>
    <x v="3"/>
    <x v="13"/>
    <x v="9"/>
  </r>
  <r>
    <x v="0"/>
    <s v="4.1.2"/>
    <s v="Administração Central"/>
    <s v="Engenheiro Residente - Hora Extra"/>
    <s v="mês"/>
    <x v="1"/>
    <m/>
    <m/>
    <m/>
    <x v="1"/>
    <x v="0"/>
    <x v="0"/>
    <x v="1"/>
  </r>
  <r>
    <x v="0"/>
    <s v="4.1.3"/>
    <s v="Administração Central"/>
    <s v="Engenheiro Residente - Vale Transporte"/>
    <s v="mês"/>
    <x v="1"/>
    <m/>
    <m/>
    <m/>
    <x v="1"/>
    <x v="0"/>
    <x v="0"/>
    <x v="1"/>
  </r>
  <r>
    <x v="0"/>
    <s v="4.1.4"/>
    <s v="Administração Central"/>
    <s v="Engenheiro Residente - Vale Refeição"/>
    <s v="mês"/>
    <x v="1"/>
    <m/>
    <m/>
    <m/>
    <x v="1"/>
    <x v="0"/>
    <x v="0"/>
    <x v="1"/>
  </r>
  <r>
    <x v="0"/>
    <s v="4.1.5"/>
    <s v="Administração Central"/>
    <s v="Engenheiro Residente - INSS | FGTS | Receita Federal"/>
    <s v="mês"/>
    <x v="1"/>
    <m/>
    <m/>
    <m/>
    <x v="1"/>
    <x v="0"/>
    <x v="0"/>
    <x v="1"/>
  </r>
  <r>
    <x v="0"/>
    <s v="4.1.6"/>
    <s v="Administração Central"/>
    <s v="Engenheiro Residente - Sindicatos | Assessorias | Seguros"/>
    <s v="mês"/>
    <x v="1"/>
    <m/>
    <m/>
    <m/>
    <x v="1"/>
    <x v="0"/>
    <x v="0"/>
    <x v="1"/>
  </r>
  <r>
    <x v="0"/>
    <s v="4.1.7"/>
    <s v="Administração Central"/>
    <s v="Engenheiro Residente - Exames admissionais, periódicos, demissionais"/>
    <s v="mês"/>
    <x v="1"/>
    <m/>
    <m/>
    <m/>
    <x v="1"/>
    <x v="0"/>
    <x v="0"/>
    <x v="1"/>
  </r>
  <r>
    <x v="0"/>
    <s v="4.1.8"/>
    <s v="Administração Central"/>
    <s v="Engenheiro Residente - 13º salário"/>
    <s v="mês"/>
    <x v="1"/>
    <m/>
    <m/>
    <m/>
    <x v="1"/>
    <x v="0"/>
    <x v="0"/>
    <x v="1"/>
  </r>
  <r>
    <x v="0"/>
    <s v="4.1.9"/>
    <s v="Administração Central"/>
    <s v="Engenheiro Residente - Férias (1/3)"/>
    <s v="mês"/>
    <x v="1"/>
    <m/>
    <m/>
    <m/>
    <x v="1"/>
    <x v="0"/>
    <x v="0"/>
    <x v="1"/>
  </r>
  <r>
    <x v="0"/>
    <s v="4.1.10"/>
    <s v="Administração Central"/>
    <s v="Engenheiro Residente - Venda de férias"/>
    <s v="mês"/>
    <x v="1"/>
    <m/>
    <m/>
    <m/>
    <x v="1"/>
    <x v="0"/>
    <x v="0"/>
    <x v="1"/>
  </r>
  <r>
    <x v="0"/>
    <s v="4.1.11"/>
    <s v="Administração Central"/>
    <s v="Engenheiro Residente - Rescisão"/>
    <s v="mês"/>
    <x v="1"/>
    <m/>
    <m/>
    <m/>
    <x v="1"/>
    <x v="0"/>
    <x v="0"/>
    <x v="1"/>
  </r>
  <r>
    <x v="1"/>
    <s v="4.2"/>
    <s v="Administração Central"/>
    <s v="Mestre de Obras"/>
    <m/>
    <x v="1"/>
    <m/>
    <n v="110000"/>
    <m/>
    <x v="1"/>
    <x v="0"/>
    <x v="0"/>
    <x v="1"/>
  </r>
  <r>
    <x v="0"/>
    <s v="4.2.1"/>
    <s v="Administração Central"/>
    <s v="Mestre de Obras - Mês"/>
    <s v="mês"/>
    <x v="5"/>
    <n v="10000"/>
    <n v="110000"/>
    <s v="Variável"/>
    <x v="5"/>
    <x v="3"/>
    <x v="13"/>
    <x v="9"/>
  </r>
  <r>
    <x v="0"/>
    <s v="4.2.2"/>
    <s v="Administração Central"/>
    <s v="Mestre de Obras - Hora Extra"/>
    <s v="mês"/>
    <x v="1"/>
    <m/>
    <m/>
    <m/>
    <x v="1"/>
    <x v="0"/>
    <x v="0"/>
    <x v="1"/>
  </r>
  <r>
    <x v="0"/>
    <s v="4.2.3"/>
    <s v="Administração Central"/>
    <s v="Mestre de Obras - Vale Transporte"/>
    <s v="mês"/>
    <x v="1"/>
    <m/>
    <m/>
    <m/>
    <x v="1"/>
    <x v="0"/>
    <x v="0"/>
    <x v="1"/>
  </r>
  <r>
    <x v="0"/>
    <s v="4.2.4"/>
    <s v="Administração Central"/>
    <s v="Mestre de Obras - Vale Refeição"/>
    <s v="mês"/>
    <x v="1"/>
    <m/>
    <m/>
    <m/>
    <x v="1"/>
    <x v="0"/>
    <x v="0"/>
    <x v="1"/>
  </r>
  <r>
    <x v="0"/>
    <s v="4.2.5"/>
    <s v="Administração Central"/>
    <s v="Mestre de Obras - INSS | FGTS | Receita Federal"/>
    <s v="mês"/>
    <x v="1"/>
    <m/>
    <m/>
    <m/>
    <x v="1"/>
    <x v="0"/>
    <x v="0"/>
    <x v="1"/>
  </r>
  <r>
    <x v="0"/>
    <s v="4.2.6"/>
    <s v="Administração Central"/>
    <s v="Mestre de Obras - Sindicatos | Assessorias | Seguros"/>
    <s v="mês"/>
    <x v="1"/>
    <m/>
    <m/>
    <m/>
    <x v="1"/>
    <x v="0"/>
    <x v="0"/>
    <x v="1"/>
  </r>
  <r>
    <x v="0"/>
    <s v="4.2.7"/>
    <s v="Administração Central"/>
    <s v="Mestre de Obras - Exames admissionais, periódicos, demissionais"/>
    <s v="mês"/>
    <x v="1"/>
    <m/>
    <m/>
    <m/>
    <x v="1"/>
    <x v="0"/>
    <x v="0"/>
    <x v="1"/>
  </r>
  <r>
    <x v="0"/>
    <s v="4.2.8"/>
    <s v="Administração Central"/>
    <s v="Mestre de Obras - 13º salário"/>
    <s v="mês"/>
    <x v="1"/>
    <m/>
    <m/>
    <m/>
    <x v="1"/>
    <x v="0"/>
    <x v="0"/>
    <x v="1"/>
  </r>
  <r>
    <x v="0"/>
    <s v="4.2.9"/>
    <s v="Administração Central"/>
    <s v="Mestre de Obras - Férias (1/3)"/>
    <s v="mês"/>
    <x v="1"/>
    <m/>
    <m/>
    <m/>
    <x v="1"/>
    <x v="0"/>
    <x v="0"/>
    <x v="1"/>
  </r>
  <r>
    <x v="0"/>
    <s v="4.2.10"/>
    <s v="Administração Central"/>
    <s v="Mestre de Obras - Venda de férias"/>
    <s v="vb"/>
    <x v="1"/>
    <m/>
    <m/>
    <m/>
    <x v="1"/>
    <x v="0"/>
    <x v="0"/>
    <x v="1"/>
  </r>
  <r>
    <x v="0"/>
    <s v="4.2.11"/>
    <s v="Administração Central"/>
    <s v="Mestre de Obras - Rescisão"/>
    <s v="vb"/>
    <x v="1"/>
    <m/>
    <m/>
    <m/>
    <x v="1"/>
    <x v="0"/>
    <x v="0"/>
    <x v="1"/>
  </r>
  <r>
    <x v="1"/>
    <s v="4.3"/>
    <s v="Administração Central"/>
    <s v="Encarregado"/>
    <m/>
    <x v="1"/>
    <m/>
    <n v="66000"/>
    <m/>
    <x v="1"/>
    <x v="0"/>
    <x v="0"/>
    <x v="1"/>
  </r>
  <r>
    <x v="0"/>
    <s v="4.3.1"/>
    <s v="Administração Central"/>
    <s v="Encarregado 01 - Mês"/>
    <s v="mês"/>
    <x v="5"/>
    <n v="6000"/>
    <n v="66000"/>
    <s v="Variável"/>
    <x v="5"/>
    <x v="3"/>
    <x v="13"/>
    <x v="9"/>
  </r>
  <r>
    <x v="0"/>
    <s v="4.3.2"/>
    <s v="Administração Central"/>
    <s v="Encarregado 01 - Hora Extra"/>
    <s v="mês"/>
    <x v="1"/>
    <m/>
    <m/>
    <m/>
    <x v="1"/>
    <x v="0"/>
    <x v="0"/>
    <x v="1"/>
  </r>
  <r>
    <x v="0"/>
    <s v="4.3.3"/>
    <s v="Administração Central"/>
    <s v="Encarregado 01 - Vale Transporte"/>
    <s v="mês"/>
    <x v="1"/>
    <m/>
    <m/>
    <m/>
    <x v="1"/>
    <x v="0"/>
    <x v="0"/>
    <x v="1"/>
  </r>
  <r>
    <x v="0"/>
    <s v="4.3.4"/>
    <s v="Administração Central"/>
    <s v="Encarregado 01 - Vale Refeição"/>
    <s v="mês"/>
    <x v="1"/>
    <m/>
    <m/>
    <m/>
    <x v="1"/>
    <x v="0"/>
    <x v="0"/>
    <x v="1"/>
  </r>
  <r>
    <x v="0"/>
    <s v="4.3.5"/>
    <s v="Administração Central"/>
    <s v="Encarregado 01 - INSS | FGTS | Receita Federal"/>
    <s v="mês"/>
    <x v="1"/>
    <m/>
    <m/>
    <m/>
    <x v="1"/>
    <x v="0"/>
    <x v="0"/>
    <x v="1"/>
  </r>
  <r>
    <x v="0"/>
    <s v="4.3.6"/>
    <s v="Administração Central"/>
    <s v="Encarregado 01 - Sindicatos | Assessorias | Seguros"/>
    <s v="mês"/>
    <x v="1"/>
    <m/>
    <m/>
    <m/>
    <x v="1"/>
    <x v="0"/>
    <x v="0"/>
    <x v="1"/>
  </r>
  <r>
    <x v="0"/>
    <s v="4.3.7"/>
    <s v="Administração Central"/>
    <s v="Encarregado 01 - Exames admissionais, periódicos, demissionais"/>
    <s v="mês"/>
    <x v="1"/>
    <m/>
    <m/>
    <m/>
    <x v="1"/>
    <x v="0"/>
    <x v="0"/>
    <x v="1"/>
  </r>
  <r>
    <x v="0"/>
    <s v="4.3.8"/>
    <s v="Administração Central"/>
    <s v="Encarregado 01 - 13º salário"/>
    <s v="mês"/>
    <x v="1"/>
    <m/>
    <m/>
    <m/>
    <x v="1"/>
    <x v="0"/>
    <x v="0"/>
    <x v="1"/>
  </r>
  <r>
    <x v="0"/>
    <s v="4.3.9"/>
    <s v="Administração Central"/>
    <s v="Encarregado 01 - Férias (1/3)"/>
    <s v="mês"/>
    <x v="1"/>
    <m/>
    <m/>
    <m/>
    <x v="1"/>
    <x v="0"/>
    <x v="0"/>
    <x v="1"/>
  </r>
  <r>
    <x v="0"/>
    <s v="4.3.10"/>
    <s v="Administração Central"/>
    <s v="Encarregado 01 - Venda de férias"/>
    <s v="mês"/>
    <x v="1"/>
    <m/>
    <m/>
    <m/>
    <x v="1"/>
    <x v="0"/>
    <x v="0"/>
    <x v="1"/>
  </r>
  <r>
    <x v="0"/>
    <s v="4.3.11"/>
    <s v="Administração Central"/>
    <s v="Encarregado 01 - Rescisão"/>
    <s v="vb"/>
    <x v="1"/>
    <m/>
    <m/>
    <m/>
    <x v="1"/>
    <x v="0"/>
    <x v="0"/>
    <x v="1"/>
  </r>
  <r>
    <x v="1"/>
    <n v="5"/>
    <s v="Projetos e Aprovações"/>
    <s v="Projetos e Aprovações"/>
    <m/>
    <x v="1"/>
    <m/>
    <n v="16400"/>
    <m/>
    <x v="1"/>
    <x v="0"/>
    <x v="0"/>
    <x v="1"/>
  </r>
  <r>
    <x v="1"/>
    <s v="5.1"/>
    <s v="Projetos e Aprovações"/>
    <s v="Elaboração de Projetos"/>
    <m/>
    <x v="1"/>
    <m/>
    <n v="15000"/>
    <m/>
    <x v="1"/>
    <x v="0"/>
    <x v="0"/>
    <x v="1"/>
  </r>
  <r>
    <x v="2"/>
    <s v="5.1.1"/>
    <s v="Projetos e Aprovações"/>
    <s v="Projeto Arquitetônico"/>
    <s v="vb"/>
    <x v="0"/>
    <n v="1500"/>
    <n v="1500"/>
    <s v="Fixo"/>
    <x v="3"/>
    <x v="2"/>
    <x v="17"/>
    <x v="12"/>
  </r>
  <r>
    <x v="2"/>
    <s v="5.1.2"/>
    <s v="Projetos e Aprovações"/>
    <s v="Projeto Estrutural"/>
    <s v="vb"/>
    <x v="0"/>
    <n v="1500"/>
    <n v="1500"/>
    <s v="Fixo"/>
    <x v="3"/>
    <x v="2"/>
    <x v="17"/>
    <x v="12"/>
  </r>
  <r>
    <x v="2"/>
    <s v="5.1.3"/>
    <s v="Projetos e Aprovações"/>
    <s v="Projeto Instalações Hidrossanitário Predial"/>
    <s v="vb"/>
    <x v="0"/>
    <n v="1500"/>
    <n v="1500"/>
    <s v="Fixo"/>
    <x v="3"/>
    <x v="2"/>
    <x v="17"/>
    <x v="12"/>
  </r>
  <r>
    <x v="2"/>
    <s v="5.1.4"/>
    <s v="Projetos e Aprovações"/>
    <s v="Projeto Instalações Elétrico Predial"/>
    <s v="vb"/>
    <x v="0"/>
    <n v="1500"/>
    <n v="1500"/>
    <s v="Fixo"/>
    <x v="3"/>
    <x v="2"/>
    <x v="17"/>
    <x v="12"/>
  </r>
  <r>
    <x v="2"/>
    <s v="5.1.5"/>
    <s v="Projetos e Aprovações"/>
    <s v="Projeto de Ar Condicionado"/>
    <s v="vb"/>
    <x v="0"/>
    <n v="1500"/>
    <n v="1500"/>
    <s v="Fixo"/>
    <x v="3"/>
    <x v="2"/>
    <x v="17"/>
    <x v="12"/>
  </r>
  <r>
    <x v="2"/>
    <s v="5.1.6"/>
    <s v="Projetos e Aprovações"/>
    <s v="Projeto de Gás"/>
    <s v="vb"/>
    <x v="0"/>
    <n v="1500"/>
    <n v="1500"/>
    <s v="Fixo"/>
    <x v="3"/>
    <x v="2"/>
    <x v="17"/>
    <x v="12"/>
  </r>
  <r>
    <x v="2"/>
    <s v="5.1.7"/>
    <s v="Projetos e Aprovações"/>
    <s v="Projeto de PPCI"/>
    <s v="vb"/>
    <x v="0"/>
    <n v="1500"/>
    <n v="1500"/>
    <s v="Fixo"/>
    <x v="3"/>
    <x v="2"/>
    <x v="17"/>
    <x v="12"/>
  </r>
  <r>
    <x v="2"/>
    <s v="5.1.8"/>
    <s v="Projetos e Aprovações"/>
    <s v="Projeto Paisagístico"/>
    <s v="vb"/>
    <x v="0"/>
    <n v="1500"/>
    <n v="1500"/>
    <s v="Fixo"/>
    <x v="3"/>
    <x v="2"/>
    <x v="17"/>
    <x v="12"/>
  </r>
  <r>
    <x v="2"/>
    <s v="5.1.9"/>
    <s v="Projetos e Aprovações"/>
    <s v="Planialtimetrico"/>
    <s v="vb"/>
    <x v="0"/>
    <n v="1500"/>
    <n v="1500"/>
    <s v="Fixo"/>
    <x v="3"/>
    <x v="2"/>
    <x v="17"/>
    <x v="12"/>
  </r>
  <r>
    <x v="2"/>
    <s v="5.1.10"/>
    <s v="Projetos e Aprovações"/>
    <s v="Sondagem"/>
    <s v="vb"/>
    <x v="0"/>
    <n v="1500"/>
    <n v="1500"/>
    <s v="Fixo"/>
    <x v="3"/>
    <x v="2"/>
    <x v="17"/>
    <x v="12"/>
  </r>
  <r>
    <x v="1"/>
    <s v="5.2"/>
    <s v="Projetos e Aprovações"/>
    <s v="Licenciamento"/>
    <m/>
    <x v="1"/>
    <m/>
    <n v="600"/>
    <m/>
    <x v="1"/>
    <x v="0"/>
    <x v="0"/>
    <x v="1"/>
  </r>
  <r>
    <x v="2"/>
    <s v="5.2.1"/>
    <s v="Projetos e Aprovações"/>
    <s v="Licenciamento Ambiental"/>
    <s v="vb"/>
    <x v="0"/>
    <n v="200"/>
    <n v="200"/>
    <s v="Fixo"/>
    <x v="3"/>
    <x v="2"/>
    <x v="17"/>
    <x v="12"/>
  </r>
  <r>
    <x v="2"/>
    <s v="5.2.2"/>
    <s v="Projetos e Aprovações"/>
    <s v="Compensação Ambiental"/>
    <s v="vb"/>
    <x v="0"/>
    <n v="200"/>
    <n v="200"/>
    <s v="Fixo"/>
    <x v="3"/>
    <x v="2"/>
    <x v="17"/>
    <x v="12"/>
  </r>
  <r>
    <x v="2"/>
    <s v="5.2.3"/>
    <s v="Projetos e Aprovações"/>
    <s v="Transplante de árvores"/>
    <s v="vb"/>
    <x v="0"/>
    <n v="200"/>
    <n v="200"/>
    <s v="Fixo"/>
    <x v="3"/>
    <x v="2"/>
    <x v="17"/>
    <x v="12"/>
  </r>
  <r>
    <x v="1"/>
    <s v="5.3"/>
    <s v="Projetos e Aprovações"/>
    <s v="Taxas"/>
    <m/>
    <x v="1"/>
    <m/>
    <n v="800"/>
    <m/>
    <x v="1"/>
    <x v="0"/>
    <x v="0"/>
    <x v="1"/>
  </r>
  <r>
    <x v="2"/>
    <s v="5.3.1"/>
    <s v="Projetos e Aprovações"/>
    <s v="Taxa de aprovação de projeto legal"/>
    <s v="vb"/>
    <x v="0"/>
    <n v="200"/>
    <n v="200"/>
    <s v="Fixo"/>
    <x v="3"/>
    <x v="2"/>
    <x v="17"/>
    <x v="12"/>
  </r>
  <r>
    <x v="2"/>
    <s v="5.3.2"/>
    <s v="Projetos e Aprovações"/>
    <s v="Taxa de ligação de água"/>
    <s v="vb"/>
    <x v="0"/>
    <n v="200"/>
    <n v="200"/>
    <s v="Fixo"/>
    <x v="4"/>
    <x v="2"/>
    <x v="18"/>
    <x v="13"/>
  </r>
  <r>
    <x v="2"/>
    <s v="5.3.3"/>
    <s v="Projetos e Aprovações"/>
    <s v="Taxa de vistoria de bombeirs"/>
    <s v="vb"/>
    <x v="0"/>
    <n v="200"/>
    <n v="200"/>
    <s v="Fixo"/>
    <x v="4"/>
    <x v="2"/>
    <x v="18"/>
    <x v="13"/>
  </r>
  <r>
    <x v="2"/>
    <s v="5.3.4"/>
    <s v="Projetos e Aprovações"/>
    <s v="Taxa de habite-se"/>
    <s v="vb"/>
    <x v="0"/>
    <n v="200"/>
    <n v="200"/>
    <s v="Fixo"/>
    <x v="4"/>
    <x v="2"/>
    <x v="18"/>
    <x v="13"/>
  </r>
  <r>
    <x v="1"/>
    <n v="6"/>
    <s v="Sede"/>
    <s v="Sede"/>
    <m/>
    <x v="1"/>
    <m/>
    <n v="93300"/>
    <m/>
    <x v="1"/>
    <x v="0"/>
    <x v="0"/>
    <x v="1"/>
  </r>
  <r>
    <x v="1"/>
    <s v="6.1"/>
    <s v="Sede"/>
    <s v="Assessorias"/>
    <m/>
    <x v="1"/>
    <m/>
    <n v="15400"/>
    <m/>
    <x v="1"/>
    <x v="0"/>
    <x v="0"/>
    <x v="1"/>
  </r>
  <r>
    <x v="2"/>
    <s v="6.1.1"/>
    <s v="Sede"/>
    <s v="Assessoria Contábil"/>
    <s v="mês"/>
    <x v="5"/>
    <n v="350"/>
    <n v="3850"/>
    <s v="Variável"/>
    <x v="5"/>
    <x v="3"/>
    <x v="13"/>
    <x v="9"/>
  </r>
  <r>
    <x v="2"/>
    <s v="6.1.2"/>
    <s v="Sede"/>
    <s v="Assessoria de Site"/>
    <s v="mês"/>
    <x v="5"/>
    <n v="350"/>
    <n v="3850"/>
    <s v="Variável"/>
    <x v="5"/>
    <x v="3"/>
    <x v="13"/>
    <x v="9"/>
  </r>
  <r>
    <x v="2"/>
    <s v="6.1.3"/>
    <s v="Sede"/>
    <s v="Assessoria de RH"/>
    <s v="mês"/>
    <x v="5"/>
    <n v="350"/>
    <n v="3850"/>
    <s v="Variável"/>
    <x v="5"/>
    <x v="3"/>
    <x v="13"/>
    <x v="9"/>
  </r>
  <r>
    <x v="2"/>
    <s v="6.1.4"/>
    <s v="Sede"/>
    <s v="Assessoria Jurídica"/>
    <s v="mês"/>
    <x v="5"/>
    <n v="350"/>
    <n v="3850"/>
    <s v="Variável"/>
    <x v="5"/>
    <x v="3"/>
    <x v="13"/>
    <x v="9"/>
  </r>
  <r>
    <x v="1"/>
    <s v="6.2"/>
    <s v="Sede"/>
    <s v="Despesas Bancárias"/>
    <m/>
    <x v="1"/>
    <m/>
    <n v="2100"/>
    <m/>
    <x v="1"/>
    <x v="0"/>
    <x v="0"/>
    <x v="1"/>
  </r>
  <r>
    <x v="2"/>
    <s v="6.2.1"/>
    <s v="Sede"/>
    <s v="Tarifa de manutenção de conta corrente"/>
    <s v="mês"/>
    <x v="5"/>
    <n v="50"/>
    <n v="550"/>
    <s v="Variável"/>
    <x v="5"/>
    <x v="3"/>
    <x v="13"/>
    <x v="9"/>
  </r>
  <r>
    <x v="2"/>
    <s v="6.2.2"/>
    <s v="Sede"/>
    <s v="Taxa de acompanhamento de operação"/>
    <s v="mês"/>
    <x v="5"/>
    <n v="50"/>
    <n v="550"/>
    <s v="Variável"/>
    <x v="5"/>
    <x v="3"/>
    <x v="13"/>
    <x v="9"/>
  </r>
  <r>
    <x v="2"/>
    <s v="6.2.3"/>
    <s v="Sede"/>
    <s v="Taxa da construtora"/>
    <s v="vb"/>
    <x v="0"/>
    <n v="1000"/>
    <n v="1000"/>
    <s v="Fixo"/>
    <x v="3"/>
    <x v="2"/>
    <x v="17"/>
    <x v="12"/>
  </r>
  <r>
    <x v="1"/>
    <s v="6.3"/>
    <s v="Sede"/>
    <s v="Seguros"/>
    <m/>
    <x v="1"/>
    <m/>
    <n v="4500"/>
    <m/>
    <x v="1"/>
    <x v="0"/>
    <x v="0"/>
    <x v="1"/>
  </r>
  <r>
    <x v="2"/>
    <s v="6.3.1"/>
    <s v="Sede"/>
    <s v="Seguro risco de engenharia"/>
    <s v="vb"/>
    <x v="0"/>
    <n v="1500"/>
    <n v="1500"/>
    <s v="Fixo"/>
    <x v="3"/>
    <x v="2"/>
    <x v="17"/>
    <x v="12"/>
  </r>
  <r>
    <x v="2"/>
    <s v="6.3.2"/>
    <s v="Sede"/>
    <s v="Seguro multirisco"/>
    <s v="vb"/>
    <x v="0"/>
    <n v="1500"/>
    <n v="1500"/>
    <s v="Fixo"/>
    <x v="3"/>
    <x v="2"/>
    <x v="17"/>
    <x v="12"/>
  </r>
  <r>
    <x v="2"/>
    <s v="6.3.3"/>
    <s v="Sede"/>
    <s v="Seguro infra"/>
    <s v="vb"/>
    <x v="0"/>
    <n v="1500"/>
    <n v="1500"/>
    <s v="Fixo"/>
    <x v="3"/>
    <x v="2"/>
    <x v="17"/>
    <x v="12"/>
  </r>
  <r>
    <x v="1"/>
    <s v="6.4"/>
    <s v="Sede"/>
    <s v="Incorporação"/>
    <m/>
    <x v="1"/>
    <m/>
    <n v="7500"/>
    <m/>
    <x v="1"/>
    <x v="0"/>
    <x v="0"/>
    <x v="1"/>
  </r>
  <r>
    <x v="2"/>
    <s v="6.4.1"/>
    <s v="Sede"/>
    <s v="Honorários para incorporação"/>
    <s v="vb"/>
    <x v="0"/>
    <n v="1500"/>
    <n v="1500"/>
    <s v="Fixo"/>
    <x v="3"/>
    <x v="2"/>
    <x v="17"/>
    <x v="12"/>
  </r>
  <r>
    <x v="2"/>
    <s v="6.4.2"/>
    <s v="Sede"/>
    <s v="Certidões e narratórias para incorporação"/>
    <s v="vb"/>
    <x v="0"/>
    <n v="1500"/>
    <n v="1500"/>
    <s v="Fixo"/>
    <x v="3"/>
    <x v="2"/>
    <x v="17"/>
    <x v="12"/>
  </r>
  <r>
    <x v="2"/>
    <s v="6.4.3"/>
    <s v="Sede"/>
    <s v="Autenticações e Reconhecimentos"/>
    <s v="vb"/>
    <x v="0"/>
    <n v="1500"/>
    <n v="1500"/>
    <s v="Fixo"/>
    <x v="3"/>
    <x v="2"/>
    <x v="17"/>
    <x v="12"/>
  </r>
  <r>
    <x v="2"/>
    <s v="6.4.4"/>
    <s v="Sede"/>
    <s v="Registro de incorporação"/>
    <s v="vb"/>
    <x v="0"/>
    <n v="1500"/>
    <n v="1500"/>
    <s v="Fixo"/>
    <x v="4"/>
    <x v="2"/>
    <x v="18"/>
    <x v="13"/>
  </r>
  <r>
    <x v="2"/>
    <s v="6.4.5"/>
    <s v="Sede"/>
    <s v="Averbação da construção "/>
    <s v="vb"/>
    <x v="0"/>
    <n v="1500"/>
    <n v="1500"/>
    <s v="Fixo"/>
    <x v="4"/>
    <x v="2"/>
    <x v="18"/>
    <x v="13"/>
  </r>
  <r>
    <x v="1"/>
    <s v="6.5"/>
    <s v="Sede"/>
    <s v="Despesas do escritório central"/>
    <m/>
    <x v="1"/>
    <m/>
    <n v="63800"/>
    <m/>
    <x v="1"/>
    <x v="0"/>
    <x v="0"/>
    <x v="1"/>
  </r>
  <r>
    <x v="2"/>
    <s v="6.5.1"/>
    <s v="Sede"/>
    <s v="Rateio de custos do escritório central"/>
    <s v="mês"/>
    <x v="5"/>
    <n v="5000"/>
    <n v="55000"/>
    <s v="Variável"/>
    <x v="5"/>
    <x v="3"/>
    <x v="13"/>
    <x v="9"/>
  </r>
  <r>
    <x v="2"/>
    <s v="6.5.2"/>
    <s v="Sede"/>
    <s v="Reembolsos visitas obra"/>
    <s v="mês"/>
    <x v="5"/>
    <n v="300"/>
    <n v="3300"/>
    <s v="Variável"/>
    <x v="5"/>
    <x v="3"/>
    <x v="13"/>
    <x v="9"/>
  </r>
  <r>
    <x v="2"/>
    <s v="6.5.3"/>
    <s v="Sede"/>
    <s v="Softwares"/>
    <s v="mês"/>
    <x v="5"/>
    <n v="500"/>
    <n v="5500"/>
    <s v="Variável"/>
    <x v="5"/>
    <x v="3"/>
    <x v="13"/>
    <x v="9"/>
  </r>
  <r>
    <x v="1"/>
    <n v="7"/>
    <s v="Comercialização"/>
    <s v="Comercialização"/>
    <m/>
    <x v="1"/>
    <m/>
    <n v="529200"/>
    <m/>
    <x v="1"/>
    <x v="0"/>
    <x v="0"/>
    <x v="1"/>
  </r>
  <r>
    <x v="1"/>
    <s v="7.1"/>
    <s v="Comercialização"/>
    <s v="Impostos"/>
    <m/>
    <x v="1"/>
    <m/>
    <n v="288000"/>
    <m/>
    <x v="1"/>
    <x v="0"/>
    <x v="0"/>
    <x v="1"/>
  </r>
  <r>
    <x v="2"/>
    <s v="7.1.1"/>
    <s v="Comercialização"/>
    <s v="Impostos sobre o Faturamento"/>
    <s v="apto"/>
    <x v="7"/>
    <n v="18000"/>
    <n v="288000"/>
    <s v="Variável"/>
    <x v="6"/>
    <x v="0"/>
    <x v="0"/>
    <x v="14"/>
  </r>
  <r>
    <x v="1"/>
    <s v="7.2"/>
    <s v="Comercialização"/>
    <s v="Comissões de vendas"/>
    <m/>
    <x v="1"/>
    <m/>
    <n v="192000"/>
    <m/>
    <x v="1"/>
    <x v="0"/>
    <x v="0"/>
    <x v="1"/>
  </r>
  <r>
    <x v="2"/>
    <s v="7.2.1"/>
    <s v="Comercialização"/>
    <s v="Imobiliárias - Comissão de vendas"/>
    <s v="apto"/>
    <x v="7"/>
    <n v="12000"/>
    <n v="192000"/>
    <s v="Variável"/>
    <x v="6"/>
    <x v="0"/>
    <x v="0"/>
    <x v="14"/>
  </r>
  <r>
    <x v="1"/>
    <s v="7.3"/>
    <s v="Comercialização"/>
    <s v="Plantão de Vendas e Decorado"/>
    <m/>
    <x v="1"/>
    <m/>
    <n v="16000"/>
    <m/>
    <x v="1"/>
    <x v="0"/>
    <x v="0"/>
    <x v="1"/>
  </r>
  <r>
    <x v="2"/>
    <s v="7.3.1"/>
    <s v="Comercialização"/>
    <s v="Construção do Plantão de Vendas"/>
    <s v="vb"/>
    <x v="0"/>
    <n v="2500"/>
    <n v="2500"/>
    <s v="Fixo"/>
    <x v="3"/>
    <x v="2"/>
    <x v="11"/>
    <x v="7"/>
  </r>
  <r>
    <x v="2"/>
    <s v="7.3.2"/>
    <s v="Comercialização"/>
    <s v="Construção do Decorado"/>
    <s v="vb"/>
    <x v="0"/>
    <n v="2500"/>
    <n v="2500"/>
    <s v="Fixo"/>
    <x v="3"/>
    <x v="2"/>
    <x v="11"/>
    <x v="7"/>
  </r>
  <r>
    <x v="2"/>
    <s v="7.3.3"/>
    <s v="Comercialização"/>
    <s v="Limpeza e manutenção do Plantão de Vendas e Decorado"/>
    <s v="mês"/>
    <x v="5"/>
    <n v="1000"/>
    <n v="11000"/>
    <s v="Variável"/>
    <x v="5"/>
    <x v="3"/>
    <x v="13"/>
    <x v="9"/>
  </r>
  <r>
    <x v="1"/>
    <s v="7.4"/>
    <s v="Comercialização"/>
    <s v="Marketing"/>
    <m/>
    <x v="1"/>
    <m/>
    <n v="6600"/>
    <m/>
    <x v="1"/>
    <x v="0"/>
    <x v="0"/>
    <x v="1"/>
  </r>
  <r>
    <x v="2"/>
    <s v="7.4.1"/>
    <s v="Comercialização"/>
    <s v="Agencia de Comunicação"/>
    <s v="mês"/>
    <x v="5"/>
    <n v="200"/>
    <n v="2200"/>
    <s v="Variável"/>
    <x v="5"/>
    <x v="3"/>
    <x v="13"/>
    <x v="9"/>
  </r>
  <r>
    <x v="2"/>
    <s v="7.4.2"/>
    <s v="Comercialização"/>
    <s v="Mídia Convencional"/>
    <s v="mês"/>
    <x v="5"/>
    <n v="200"/>
    <n v="2200"/>
    <s v="Variável"/>
    <x v="5"/>
    <x v="3"/>
    <x v="13"/>
    <x v="9"/>
  </r>
  <r>
    <x v="2"/>
    <s v="7.4.3"/>
    <s v="Comercialização"/>
    <s v="Mídia Digital"/>
    <s v="mês"/>
    <x v="5"/>
    <n v="200"/>
    <n v="2200"/>
    <s v="Variável"/>
    <x v="5"/>
    <x v="3"/>
    <x v="13"/>
    <x v="9"/>
  </r>
  <r>
    <x v="1"/>
    <s v="7.5"/>
    <s v="Comercialização"/>
    <s v="Entrega dos Apartamentos"/>
    <m/>
    <x v="1"/>
    <m/>
    <n v="7400"/>
    <m/>
    <x v="1"/>
    <x v="0"/>
    <x v="0"/>
    <x v="1"/>
  </r>
  <r>
    <x v="2"/>
    <s v="7.5.1"/>
    <s v="Comercialização"/>
    <s v="Evento de Vistorias"/>
    <s v="vb"/>
    <x v="0"/>
    <n v="2500"/>
    <n v="2500"/>
    <s v="Fixo"/>
    <x v="4"/>
    <x v="2"/>
    <x v="19"/>
    <x v="8"/>
  </r>
  <r>
    <x v="2"/>
    <s v="7.5.2"/>
    <s v="Comercialização"/>
    <s v="Evento de entrega das chaves"/>
    <s v="vb"/>
    <x v="0"/>
    <n v="2500"/>
    <n v="2500"/>
    <s v="Fixo"/>
    <x v="4"/>
    <x v="2"/>
    <x v="19"/>
    <x v="8"/>
  </r>
  <r>
    <x v="2"/>
    <s v="7.5.3"/>
    <s v="Comercialização"/>
    <s v="Chaves e Acionadores de Portão "/>
    <s v="apto"/>
    <x v="7"/>
    <n v="50"/>
    <n v="800"/>
    <s v="Fixo"/>
    <x v="4"/>
    <x v="2"/>
    <x v="19"/>
    <x v="8"/>
  </r>
  <r>
    <x v="2"/>
    <s v="7.5.4"/>
    <s v="Comercialização"/>
    <s v="Manuais "/>
    <s v="apto"/>
    <x v="7"/>
    <n v="50"/>
    <n v="800"/>
    <s v="Fixo"/>
    <x v="4"/>
    <x v="2"/>
    <x v="19"/>
    <x v="8"/>
  </r>
  <r>
    <x v="2"/>
    <s v="7.5.5"/>
    <s v="Comercialização"/>
    <s v="Brindes"/>
    <s v="apto"/>
    <x v="7"/>
    <n v="50"/>
    <n v="800"/>
    <s v="Fixo"/>
    <x v="4"/>
    <x v="2"/>
    <x v="19"/>
    <x v="8"/>
  </r>
  <r>
    <x v="1"/>
    <s v="7.6"/>
    <s v="Comercialização"/>
    <s v="Custo dos Clientes"/>
    <m/>
    <x v="1"/>
    <m/>
    <n v="19200"/>
    <m/>
    <x v="1"/>
    <x v="0"/>
    <x v="0"/>
    <x v="1"/>
  </r>
  <r>
    <x v="2"/>
    <s v="7.6.1"/>
    <s v="Comercialização"/>
    <s v="ITBI Clientes"/>
    <s v="apto"/>
    <x v="7"/>
    <n v="600"/>
    <n v="9600"/>
    <s v="Variável"/>
    <x v="6"/>
    <x v="0"/>
    <x v="0"/>
    <x v="14"/>
  </r>
  <r>
    <x v="2"/>
    <s v="7.6.2"/>
    <s v="Comercialização"/>
    <s v="Registro de Imóveis Clientes"/>
    <s v="apto"/>
    <x v="7"/>
    <n v="600"/>
    <n v="9600"/>
    <s v="Variável"/>
    <x v="6"/>
    <x v="0"/>
    <x v="0"/>
    <x v="14"/>
  </r>
  <r>
    <x v="1"/>
    <n v="8"/>
    <s v="Terreno"/>
    <s v="Terreno"/>
    <m/>
    <x v="1"/>
    <m/>
    <n v="100000"/>
    <m/>
    <x v="1"/>
    <x v="0"/>
    <x v="0"/>
    <x v="1"/>
  </r>
  <r>
    <x v="1"/>
    <s v="8.1"/>
    <s v="Terreno"/>
    <s v="Aquisição do Terreno"/>
    <m/>
    <x v="1"/>
    <m/>
    <m/>
    <m/>
    <x v="1"/>
    <x v="0"/>
    <x v="0"/>
    <x v="1"/>
  </r>
  <r>
    <x v="2"/>
    <s v="8.1.2"/>
    <s v="Terreno"/>
    <s v="Aquisição do terreno"/>
    <s v="vb"/>
    <x v="0"/>
    <n v="100000"/>
    <n v="100000"/>
    <s v="Fixo"/>
    <x v="3"/>
    <x v="2"/>
    <x v="20"/>
    <x v="12"/>
  </r>
  <r>
    <x v="2"/>
    <s v="8.1.3"/>
    <s v="Terreno"/>
    <s v="Remuneração do proprietário do terreno"/>
    <s v="vb"/>
    <x v="1"/>
    <m/>
    <m/>
    <m/>
    <x v="1"/>
    <x v="0"/>
    <x v="0"/>
    <x v="1"/>
  </r>
  <r>
    <x v="2"/>
    <s v="8.1.4"/>
    <s v="Terreno"/>
    <s v="Reembolso aos investidores do terreno"/>
    <s v="vb"/>
    <x v="1"/>
    <m/>
    <m/>
    <m/>
    <x v="1"/>
    <x v="0"/>
    <x v="0"/>
    <x v="1"/>
  </r>
  <r>
    <x v="2"/>
    <s v="8.1.5"/>
    <s v="Terreno"/>
    <s v="Comissão de venda terreno"/>
    <s v="vb"/>
    <x v="1"/>
    <m/>
    <m/>
    <m/>
    <x v="1"/>
    <x v="0"/>
    <x v="0"/>
    <x v="1"/>
  </r>
  <r>
    <x v="2"/>
    <s v="8.1.6"/>
    <s v="Terreno"/>
    <s v="Correção valor do terreno (INCC) "/>
    <s v="mês"/>
    <x v="1"/>
    <m/>
    <m/>
    <m/>
    <x v="1"/>
    <x v="0"/>
    <x v="0"/>
    <x v="1"/>
  </r>
  <r>
    <x v="2"/>
    <s v="8.1.7"/>
    <s v="Terreno"/>
    <s v="ITBI "/>
    <s v="vb"/>
    <x v="1"/>
    <m/>
    <m/>
    <m/>
    <x v="1"/>
    <x v="0"/>
    <x v="0"/>
    <x v="1"/>
  </r>
  <r>
    <x v="1"/>
    <s v="8.2"/>
    <s v="Terreno"/>
    <s v="Regularização do Terreno"/>
    <m/>
    <x v="1"/>
    <m/>
    <m/>
    <m/>
    <x v="1"/>
    <x v="0"/>
    <x v="0"/>
    <x v="1"/>
  </r>
  <r>
    <x v="2"/>
    <s v="8.2.1"/>
    <s v="Terreno"/>
    <s v="Horas Técnicas de Advogado "/>
    <s v="horas"/>
    <x v="1"/>
    <m/>
    <m/>
    <m/>
    <x v="1"/>
    <x v="0"/>
    <x v="0"/>
    <x v="1"/>
  </r>
  <r>
    <x v="2"/>
    <s v="8.2.2"/>
    <s v="Terreno"/>
    <s v="Regularização (custo de desocupação) do terreno"/>
    <s v="vb"/>
    <x v="1"/>
    <m/>
    <m/>
    <m/>
    <x v="1"/>
    <x v="0"/>
    <x v="0"/>
    <x v="1"/>
  </r>
  <r>
    <x v="2"/>
    <s v="8.2.3"/>
    <s v="Terreno"/>
    <s v="Pagamento de IPTU atrasado"/>
    <s v="vb"/>
    <x v="1"/>
    <m/>
    <m/>
    <m/>
    <x v="1"/>
    <x v="0"/>
    <x v="0"/>
    <x v="1"/>
  </r>
  <r>
    <x v="1"/>
    <s v="8.3"/>
    <s v="Terreno"/>
    <s v="Despesas Iniciais do Terreno"/>
    <m/>
    <x v="1"/>
    <m/>
    <m/>
    <m/>
    <x v="1"/>
    <x v="0"/>
    <x v="0"/>
    <x v="1"/>
  </r>
  <r>
    <x v="2"/>
    <s v="8.3.1"/>
    <s v="Terreno"/>
    <s v="Limpeza Inicial do Terreno"/>
    <s v="vb"/>
    <x v="1"/>
    <m/>
    <m/>
    <m/>
    <x v="1"/>
    <x v="0"/>
    <x v="0"/>
    <x v="1"/>
  </r>
  <r>
    <x v="2"/>
    <s v="8.3.2"/>
    <s v="Terreno"/>
    <s v="Demolição"/>
    <s v="vb"/>
    <x v="1"/>
    <m/>
    <m/>
    <m/>
    <x v="1"/>
    <x v="0"/>
    <x v="0"/>
    <x v="1"/>
  </r>
  <r>
    <x v="2"/>
    <s v="8.3.3"/>
    <s v="Terreno"/>
    <s v="Fechamento/Cercamento"/>
    <s v="vb"/>
    <x v="1"/>
    <m/>
    <m/>
    <m/>
    <x v="1"/>
    <x v="0"/>
    <x v="0"/>
    <x v="1"/>
  </r>
  <r>
    <x v="1"/>
    <s v="8.4"/>
    <s v="Terreno"/>
    <s v="Cmpra de Inície Construtivo"/>
    <m/>
    <x v="1"/>
    <m/>
    <m/>
    <m/>
    <x v="1"/>
    <x v="0"/>
    <x v="0"/>
    <x v="1"/>
  </r>
  <r>
    <x v="2"/>
    <s v="8.4.1"/>
    <s v="Terreno"/>
    <s v="Compra de Índice Construtivo"/>
    <s v="vb"/>
    <x v="1"/>
    <m/>
    <m/>
    <m/>
    <x v="1"/>
    <x v="0"/>
    <x v="0"/>
    <x v="1"/>
  </r>
  <r>
    <x v="1"/>
    <s v="8.5"/>
    <s v="Terreno"/>
    <s v="Despesas Mensais do Terreno"/>
    <m/>
    <x v="1"/>
    <m/>
    <m/>
    <m/>
    <x v="1"/>
    <x v="0"/>
    <x v="0"/>
    <x v="1"/>
  </r>
  <r>
    <x v="2"/>
    <s v="8.5.1"/>
    <s v="Terreno"/>
    <s v="Manutenção do terreno pré-obra (limpeza)"/>
    <s v="mês"/>
    <x v="1"/>
    <m/>
    <m/>
    <m/>
    <x v="1"/>
    <x v="0"/>
    <x v="0"/>
    <x v="1"/>
  </r>
  <r>
    <x v="2"/>
    <s v="8.5.2"/>
    <s v="Terreno"/>
    <s v="IPTU do Terreno (após a compra)"/>
    <s v="mês"/>
    <x v="1"/>
    <m/>
    <m/>
    <m/>
    <x v="1"/>
    <x v="0"/>
    <x v="0"/>
    <x v="1"/>
  </r>
  <r>
    <x v="2"/>
    <s v="8.5.3"/>
    <s v="Terreno"/>
    <s v="Conta de Água do Terreno"/>
    <s v="mês"/>
    <x v="1"/>
    <m/>
    <m/>
    <m/>
    <x v="1"/>
    <x v="0"/>
    <x v="0"/>
    <x v="1"/>
  </r>
  <r>
    <x v="2"/>
    <s v="8.5.4"/>
    <s v="Terreno"/>
    <s v="Conta de Luz do Terreno "/>
    <s v="mês"/>
    <x v="1"/>
    <m/>
    <m/>
    <m/>
    <x v="1"/>
    <x v="0"/>
    <x v="0"/>
    <x v="1"/>
  </r>
  <r>
    <x v="2"/>
    <s v="8.5.5"/>
    <s v="Terreno"/>
    <s v="Vigia do Terreno"/>
    <s v="mês"/>
    <x v="1"/>
    <m/>
    <m/>
    <m/>
    <x v="1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585A24-7734-479D-AF30-94AB25578C8D}" name="Tabela dinâmica8" cacheId="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21:B29" firstHeaderRow="1" firstDataRow="1" firstDataCol="1" rowPageCount="2" colPageCount="1"/>
  <pivotFields count="13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Page" showAll="0">
      <items count="8">
        <item x="3"/>
        <item x="0"/>
        <item x="5"/>
        <item x="2"/>
        <item x="4"/>
        <item x="6"/>
        <item x="1"/>
        <item t="default"/>
      </items>
    </pivotField>
    <pivotField axis="axisPage" showAll="0">
      <items count="5">
        <item x="2"/>
        <item x="1"/>
        <item x="3"/>
        <item x="0"/>
        <item t="default"/>
      </items>
    </pivotField>
    <pivotField axis="axisRow" showAll="0">
      <items count="22">
        <item x="5"/>
        <item x="16"/>
        <item x="2"/>
        <item x="3"/>
        <item x="12"/>
        <item x="19"/>
        <item x="15"/>
        <item x="9"/>
        <item x="10"/>
        <item x="14"/>
        <item x="1"/>
        <item x="11"/>
        <item x="6"/>
        <item x="7"/>
        <item x="8"/>
        <item x="13"/>
        <item x="17"/>
        <item x="4"/>
        <item x="20"/>
        <item x="18"/>
        <item h="1" x="0"/>
        <item t="default"/>
      </items>
    </pivotField>
    <pivotField showAll="0"/>
  </pivotFields>
  <rowFields count="1">
    <field x="11"/>
  </rowFields>
  <rowItems count="8">
    <i>
      <x/>
    </i>
    <i>
      <x v="1"/>
    </i>
    <i>
      <x v="3"/>
    </i>
    <i>
      <x v="7"/>
    </i>
    <i>
      <x v="8"/>
    </i>
    <i>
      <x v="10"/>
    </i>
    <i>
      <x v="12"/>
    </i>
    <i t="grand">
      <x/>
    </i>
  </rowItems>
  <colItems count="1">
    <i/>
  </colItems>
  <pageFields count="2">
    <pageField fld="9" item="3" hier="-1"/>
    <pageField fld="10" hier="-1"/>
  </pageFields>
  <dataFields count="1">
    <dataField name="Soma de Total" fld="7" baseField="0" baseItem="0"/>
  </dataFields>
  <formats count="1">
    <format dxfId="0">
      <pivotArea collapsedLevelsAreSubtotals="1" fieldPosition="0">
        <references count="1">
          <reference field="11" count="7">
            <x v="0"/>
            <x v="1"/>
            <x v="3"/>
            <x v="7"/>
            <x v="8"/>
            <x v="10"/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54A84F-15C7-435A-8BB3-AC8389A5ACF1}" name="Tabela dinâmica7" cacheId="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P16" firstHeaderRow="1" firstDataRow="2" firstDataCol="1" rowPageCount="1" colPageCount="1"/>
  <pivotFields count="13"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9">
        <item x="0"/>
        <item x="4"/>
        <item x="6"/>
        <item x="2"/>
        <item x="3"/>
        <item x="5"/>
        <item x="7"/>
        <item h="1" x="1"/>
        <item t="default"/>
      </items>
    </pivotField>
    <pivotField showAll="0"/>
    <pivotField dataField="1" showAll="0"/>
    <pivotField showAll="0"/>
    <pivotField axis="axisRow" showAll="0">
      <items count="8">
        <item x="3"/>
        <item x="0"/>
        <item x="5"/>
        <item x="2"/>
        <item x="4"/>
        <item x="6"/>
        <item x="1"/>
        <item t="default"/>
      </items>
    </pivotField>
    <pivotField showAll="0"/>
    <pivotField showAll="0"/>
    <pivotField axis="axisCol" showAll="0">
      <items count="17">
        <item x="9"/>
        <item x="14"/>
        <item x="2"/>
        <item x="12"/>
        <item x="7"/>
        <item x="11"/>
        <item x="3"/>
        <item x="4"/>
        <item x="10"/>
        <item x="5"/>
        <item x="6"/>
        <item x="13"/>
        <item x="8"/>
        <item x="1"/>
        <item m="1" x="15"/>
        <item x="0"/>
        <item t="default"/>
      </items>
    </pivotField>
  </pivotFields>
  <rowFields count="2">
    <field x="0"/>
    <field x="9"/>
  </rowFields>
  <rowItems count="12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2"/>
    </i>
    <i r="1">
      <x v="4"/>
    </i>
    <i r="1">
      <x v="5"/>
    </i>
    <i t="grand">
      <x/>
    </i>
  </rowItems>
  <colFields count="1">
    <field x="12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 t="grand">
      <x/>
    </i>
  </colItems>
  <pageFields count="1">
    <pageField fld="5" hier="-1"/>
  </pageFields>
  <dataFields count="1">
    <dataField name="Soma de Total" fld="7" baseField="0" baseItem="0" numFmtId="164"/>
  </dataFields>
  <formats count="7">
    <format dxfId="7">
      <pivotArea outline="0" collapsedLevelsAreSubtotals="1" fieldPosition="0"/>
    </format>
    <format dxfId="6">
      <pivotArea dataOnly="0" labelOnly="1" outline="0" fieldPosition="0">
        <references count="1">
          <reference field="5" count="0"/>
        </references>
      </pivotArea>
    </format>
    <format dxfId="5">
      <pivotArea field="12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collapsedLevelsAreSubtotals="1" fieldPosition="0">
        <references count="3">
          <reference field="0" count="1" selected="0">
            <x v="0"/>
          </reference>
          <reference field="9" count="1">
            <x v="3"/>
          </reference>
          <reference field="12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B037-9840-4DD3-BCBC-3B42C6714E97}">
  <dimension ref="A1:N214"/>
  <sheetViews>
    <sheetView tabSelected="1" topLeftCell="C1" zoomScale="85" zoomScaleNormal="85" workbookViewId="0">
      <selection activeCell="I1" sqref="I1:I1048576"/>
    </sheetView>
  </sheetViews>
  <sheetFormatPr defaultRowHeight="14.25"/>
  <cols>
    <col min="1" max="1" width="11.5703125" style="41" customWidth="1"/>
    <col min="2" max="2" width="15.28515625" style="41" customWidth="1"/>
    <col min="3" max="3" width="9.140625" style="41"/>
    <col min="4" max="4" width="43.42578125" style="41" customWidth="1"/>
    <col min="5" max="5" width="52.140625" style="59" customWidth="1"/>
    <col min="6" max="6" width="13.28515625" style="41" customWidth="1"/>
    <col min="7" max="7" width="11.5703125" style="41" customWidth="1"/>
    <col min="8" max="8" width="14.28515625" style="49" customWidth="1"/>
    <col min="9" max="9" width="19.85546875" style="74" customWidth="1"/>
    <col min="10" max="12" width="27.7109375" style="41" customWidth="1"/>
    <col min="13" max="13" width="34.7109375" style="41" customWidth="1"/>
    <col min="14" max="14" width="19.85546875" style="77" customWidth="1"/>
    <col min="15" max="15" width="15.5703125" style="45" bestFit="1" customWidth="1"/>
    <col min="16" max="16384" width="9.140625" style="45"/>
  </cols>
  <sheetData>
    <row r="1" spans="1:14" ht="13.5" customHeight="1">
      <c r="A1" s="41" t="s">
        <v>485</v>
      </c>
      <c r="B1" s="41" t="s">
        <v>0</v>
      </c>
      <c r="C1" s="41" t="s">
        <v>469</v>
      </c>
      <c r="D1" s="41" t="s">
        <v>472</v>
      </c>
      <c r="E1" s="59" t="s">
        <v>468</v>
      </c>
      <c r="F1" s="42" t="s">
        <v>32</v>
      </c>
      <c r="G1" s="43" t="s">
        <v>33</v>
      </c>
      <c r="H1" s="44" t="s">
        <v>34</v>
      </c>
      <c r="I1" s="72" t="s">
        <v>35</v>
      </c>
      <c r="J1" s="42" t="s">
        <v>36</v>
      </c>
      <c r="K1" s="42" t="s">
        <v>37</v>
      </c>
      <c r="L1" s="42" t="s">
        <v>38</v>
      </c>
      <c r="M1" s="42" t="s">
        <v>481</v>
      </c>
      <c r="N1" s="75" t="s">
        <v>494</v>
      </c>
    </row>
    <row r="2" spans="1:14" ht="15" customHeight="1">
      <c r="A2" s="46" t="s">
        <v>484</v>
      </c>
      <c r="B2" s="46" t="s">
        <v>486</v>
      </c>
      <c r="C2" s="46">
        <v>1</v>
      </c>
      <c r="D2" s="46" t="s">
        <v>480</v>
      </c>
      <c r="E2" s="60" t="s">
        <v>480</v>
      </c>
      <c r="F2" s="46"/>
      <c r="G2" s="46">
        <v>1</v>
      </c>
      <c r="H2" s="50"/>
      <c r="I2" s="73">
        <v>1534647.0000000002</v>
      </c>
      <c r="J2" s="48"/>
      <c r="K2" s="48" t="s">
        <v>489</v>
      </c>
      <c r="L2" s="48"/>
      <c r="M2" s="48"/>
      <c r="N2" s="76" t="s">
        <v>506</v>
      </c>
    </row>
    <row r="3" spans="1:14" ht="15" customHeight="1">
      <c r="A3" s="46" t="s">
        <v>484</v>
      </c>
      <c r="B3" s="46" t="s">
        <v>486</v>
      </c>
      <c r="C3" s="46">
        <v>2</v>
      </c>
      <c r="D3" s="46" t="s">
        <v>39</v>
      </c>
      <c r="E3" s="60" t="s">
        <v>39</v>
      </c>
      <c r="F3" s="46"/>
      <c r="G3" s="46"/>
      <c r="H3" s="50"/>
      <c r="I3" s="73">
        <f>I4+I7+I11+I14+I18+I23+I30+I36</f>
        <v>37200</v>
      </c>
      <c r="J3" s="48"/>
      <c r="K3" s="48"/>
      <c r="L3" s="48"/>
      <c r="M3" s="48"/>
      <c r="N3" s="76"/>
    </row>
    <row r="4" spans="1:14" ht="15" customHeight="1">
      <c r="A4" s="46"/>
      <c r="B4" s="46"/>
      <c r="C4" s="46" t="s">
        <v>40</v>
      </c>
      <c r="D4" s="46" t="s">
        <v>39</v>
      </c>
      <c r="E4" s="60" t="s">
        <v>41</v>
      </c>
      <c r="F4" s="46"/>
      <c r="G4" s="46"/>
      <c r="H4" s="50"/>
      <c r="I4" s="73">
        <f>I5+I6</f>
        <v>11000</v>
      </c>
      <c r="J4" s="48"/>
      <c r="K4" s="48"/>
      <c r="L4" s="48"/>
      <c r="M4" s="48"/>
      <c r="N4" s="76"/>
    </row>
    <row r="5" spans="1:14" ht="15" customHeight="1">
      <c r="B5" s="41" t="s">
        <v>486</v>
      </c>
      <c r="C5" s="41" t="s">
        <v>42</v>
      </c>
      <c r="D5" s="41" t="s">
        <v>39</v>
      </c>
      <c r="E5" s="59" t="s">
        <v>43</v>
      </c>
      <c r="F5" s="41" t="s">
        <v>44</v>
      </c>
      <c r="G5" s="62">
        <v>1</v>
      </c>
      <c r="H5" s="49">
        <v>11000</v>
      </c>
      <c r="I5" s="74">
        <f>H5*G5</f>
        <v>11000</v>
      </c>
      <c r="J5" s="41" t="s">
        <v>45</v>
      </c>
      <c r="K5" s="41" t="s">
        <v>493</v>
      </c>
      <c r="L5" s="41" t="s">
        <v>46</v>
      </c>
      <c r="M5" s="41" t="s">
        <v>47</v>
      </c>
      <c r="N5" s="77" t="s">
        <v>503</v>
      </c>
    </row>
    <row r="6" spans="1:14" ht="15" customHeight="1">
      <c r="B6" s="41" t="s">
        <v>486</v>
      </c>
      <c r="C6" s="41" t="s">
        <v>48</v>
      </c>
      <c r="D6" s="41" t="s">
        <v>39</v>
      </c>
      <c r="E6" s="59" t="s">
        <v>49</v>
      </c>
      <c r="F6" s="41" t="s">
        <v>44</v>
      </c>
      <c r="J6" s="41" t="s">
        <v>45</v>
      </c>
      <c r="K6" s="41" t="s">
        <v>493</v>
      </c>
      <c r="L6" s="41" t="s">
        <v>46</v>
      </c>
    </row>
    <row r="7" spans="1:14" ht="15" customHeight="1">
      <c r="A7" s="46"/>
      <c r="B7" s="46"/>
      <c r="C7" s="46" t="s">
        <v>50</v>
      </c>
      <c r="D7" s="46" t="s">
        <v>39</v>
      </c>
      <c r="E7" s="60" t="s">
        <v>51</v>
      </c>
      <c r="F7" s="46"/>
      <c r="G7" s="46"/>
      <c r="H7" s="50"/>
      <c r="I7" s="73">
        <f>I8+I9+I10</f>
        <v>14000</v>
      </c>
      <c r="J7" s="48"/>
      <c r="K7" s="48"/>
      <c r="L7" s="48"/>
      <c r="M7" s="48"/>
      <c r="N7" s="76"/>
    </row>
    <row r="8" spans="1:14" ht="15" customHeight="1">
      <c r="B8" s="41" t="s">
        <v>486</v>
      </c>
      <c r="C8" s="41" t="s">
        <v>52</v>
      </c>
      <c r="D8" s="41" t="s">
        <v>39</v>
      </c>
      <c r="E8" s="59" t="s">
        <v>53</v>
      </c>
      <c r="F8" s="41" t="s">
        <v>54</v>
      </c>
      <c r="G8" s="41">
        <v>1</v>
      </c>
      <c r="H8" s="49">
        <v>1000</v>
      </c>
      <c r="I8" s="74">
        <f t="shared" ref="I8" si="0">H8*G8</f>
        <v>1000</v>
      </c>
      <c r="J8" s="41" t="s">
        <v>55</v>
      </c>
      <c r="K8" s="41" t="s">
        <v>56</v>
      </c>
      <c r="L8" s="41" t="s">
        <v>46</v>
      </c>
      <c r="M8" s="41" t="s">
        <v>500</v>
      </c>
      <c r="N8" s="77">
        <f>VLOOKUP(M8,'Aux2'!$B$2:$C$21,2,0)</f>
        <v>44466</v>
      </c>
    </row>
    <row r="9" spans="1:14" ht="15" customHeight="1">
      <c r="B9" s="41" t="s">
        <v>486</v>
      </c>
      <c r="C9" s="41" t="s">
        <v>57</v>
      </c>
      <c r="D9" s="41" t="s">
        <v>39</v>
      </c>
      <c r="E9" s="59" t="s">
        <v>58</v>
      </c>
      <c r="F9" s="41" t="s">
        <v>44</v>
      </c>
      <c r="G9" s="62">
        <v>4</v>
      </c>
      <c r="H9" s="49">
        <v>3000</v>
      </c>
      <c r="I9" s="74">
        <f>H9*G9</f>
        <v>12000</v>
      </c>
      <c r="J9" s="41" t="s">
        <v>45</v>
      </c>
      <c r="K9" s="41" t="s">
        <v>493</v>
      </c>
      <c r="L9" s="41" t="s">
        <v>46</v>
      </c>
      <c r="M9" s="41" t="s">
        <v>502</v>
      </c>
      <c r="N9" s="77" t="s">
        <v>503</v>
      </c>
    </row>
    <row r="10" spans="1:14" ht="15" customHeight="1">
      <c r="B10" s="41" t="s">
        <v>486</v>
      </c>
      <c r="C10" s="41" t="s">
        <v>59</v>
      </c>
      <c r="D10" s="41" t="s">
        <v>39</v>
      </c>
      <c r="E10" s="59" t="s">
        <v>60</v>
      </c>
      <c r="F10" s="41" t="s">
        <v>54</v>
      </c>
      <c r="G10" s="41">
        <v>1</v>
      </c>
      <c r="H10" s="49">
        <v>1000</v>
      </c>
      <c r="I10" s="74">
        <f>H10*G10</f>
        <v>1000</v>
      </c>
      <c r="J10" s="41" t="s">
        <v>55</v>
      </c>
      <c r="K10" s="41" t="s">
        <v>61</v>
      </c>
      <c r="L10" s="41" t="s">
        <v>46</v>
      </c>
      <c r="M10" s="41" t="s">
        <v>499</v>
      </c>
      <c r="N10" s="77">
        <f>VLOOKUP(M10,'Aux2'!$B$2:$C$21,2,0)</f>
        <v>44575</v>
      </c>
    </row>
    <row r="11" spans="1:14" ht="15" customHeight="1">
      <c r="A11" s="46"/>
      <c r="B11" s="46"/>
      <c r="C11" s="46" t="s">
        <v>62</v>
      </c>
      <c r="D11" s="46" t="s">
        <v>39</v>
      </c>
      <c r="E11" s="60" t="s">
        <v>63</v>
      </c>
      <c r="F11" s="46"/>
      <c r="G11" s="46"/>
      <c r="H11" s="50"/>
      <c r="I11" s="73">
        <f>I12+I13</f>
        <v>9000</v>
      </c>
      <c r="J11" s="48"/>
      <c r="K11" s="48"/>
      <c r="L11" s="48"/>
      <c r="M11" s="48"/>
      <c r="N11" s="76"/>
    </row>
    <row r="12" spans="1:14" ht="15" customHeight="1">
      <c r="B12" s="41" t="s">
        <v>486</v>
      </c>
      <c r="C12" s="41" t="s">
        <v>64</v>
      </c>
      <c r="D12" s="41" t="s">
        <v>39</v>
      </c>
      <c r="E12" s="59" t="s">
        <v>65</v>
      </c>
      <c r="F12" s="41" t="s">
        <v>44</v>
      </c>
      <c r="G12" s="62">
        <v>6</v>
      </c>
      <c r="H12" s="49">
        <v>1500</v>
      </c>
      <c r="I12" s="74">
        <f>H12*G12</f>
        <v>9000</v>
      </c>
      <c r="J12" s="41" t="s">
        <v>45</v>
      </c>
      <c r="K12" s="41" t="s">
        <v>493</v>
      </c>
      <c r="L12" s="41" t="s">
        <v>46</v>
      </c>
      <c r="M12" s="41" t="s">
        <v>501</v>
      </c>
      <c r="N12" s="77" t="s">
        <v>503</v>
      </c>
    </row>
    <row r="13" spans="1:14" ht="15" customHeight="1">
      <c r="B13" s="41" t="s">
        <v>486</v>
      </c>
      <c r="C13" s="41" t="s">
        <v>66</v>
      </c>
      <c r="D13" s="41" t="s">
        <v>39</v>
      </c>
      <c r="E13" s="59" t="s">
        <v>67</v>
      </c>
      <c r="F13" s="41" t="s">
        <v>44</v>
      </c>
      <c r="J13" s="41" t="s">
        <v>45</v>
      </c>
      <c r="K13" s="41" t="s">
        <v>493</v>
      </c>
      <c r="L13" s="41" t="s">
        <v>46</v>
      </c>
    </row>
    <row r="14" spans="1:14" ht="15" customHeight="1">
      <c r="A14" s="46"/>
      <c r="B14" s="46"/>
      <c r="C14" s="46" t="s">
        <v>68</v>
      </c>
      <c r="D14" s="46" t="s">
        <v>39</v>
      </c>
      <c r="E14" s="60" t="s">
        <v>69</v>
      </c>
      <c r="F14" s="46"/>
      <c r="G14" s="46"/>
      <c r="H14" s="50"/>
      <c r="I14" s="73"/>
      <c r="J14" s="48"/>
      <c r="K14" s="48"/>
      <c r="L14" s="48"/>
      <c r="M14" s="48"/>
      <c r="N14" s="76"/>
    </row>
    <row r="15" spans="1:14" ht="15" customHeight="1">
      <c r="B15" s="41" t="s">
        <v>486</v>
      </c>
      <c r="C15" s="41" t="s">
        <v>70</v>
      </c>
      <c r="D15" s="41" t="s">
        <v>39</v>
      </c>
      <c r="E15" s="59" t="s">
        <v>71</v>
      </c>
      <c r="F15" s="41" t="s">
        <v>54</v>
      </c>
      <c r="J15" s="41" t="s">
        <v>55</v>
      </c>
      <c r="K15" s="41" t="s">
        <v>56</v>
      </c>
      <c r="L15" s="41" t="s">
        <v>46</v>
      </c>
    </row>
    <row r="16" spans="1:14" ht="15" customHeight="1">
      <c r="B16" s="41" t="s">
        <v>486</v>
      </c>
      <c r="C16" s="41" t="s">
        <v>72</v>
      </c>
      <c r="D16" s="41" t="s">
        <v>39</v>
      </c>
      <c r="E16" s="59" t="s">
        <v>73</v>
      </c>
      <c r="F16" s="41" t="s">
        <v>44</v>
      </c>
      <c r="J16" s="41" t="s">
        <v>45</v>
      </c>
      <c r="K16" s="41" t="s">
        <v>493</v>
      </c>
      <c r="L16" s="41" t="s">
        <v>46</v>
      </c>
    </row>
    <row r="17" spans="1:14" ht="15" customHeight="1">
      <c r="B17" s="41" t="s">
        <v>486</v>
      </c>
      <c r="C17" s="41" t="s">
        <v>74</v>
      </c>
      <c r="D17" s="41" t="s">
        <v>39</v>
      </c>
      <c r="E17" s="59" t="s">
        <v>75</v>
      </c>
      <c r="F17" s="41" t="s">
        <v>54</v>
      </c>
      <c r="J17" s="41" t="s">
        <v>55</v>
      </c>
      <c r="K17" s="41" t="s">
        <v>61</v>
      </c>
      <c r="L17" s="41" t="s">
        <v>46</v>
      </c>
    </row>
    <row r="18" spans="1:14" ht="15" customHeight="1">
      <c r="A18" s="46"/>
      <c r="B18" s="46"/>
      <c r="C18" s="46" t="s">
        <v>76</v>
      </c>
      <c r="D18" s="46" t="s">
        <v>39</v>
      </c>
      <c r="E18" s="60" t="s">
        <v>77</v>
      </c>
      <c r="F18" s="46"/>
      <c r="G18" s="46"/>
      <c r="H18" s="50"/>
      <c r="I18" s="73">
        <f>SUM(I19:I22)</f>
        <v>2300</v>
      </c>
      <c r="J18" s="48"/>
      <c r="K18" s="48"/>
      <c r="L18" s="48"/>
      <c r="M18" s="48"/>
      <c r="N18" s="76"/>
    </row>
    <row r="19" spans="1:14" ht="15" customHeight="1">
      <c r="B19" s="41" t="s">
        <v>486</v>
      </c>
      <c r="C19" s="41" t="s">
        <v>78</v>
      </c>
      <c r="D19" s="41" t="s">
        <v>39</v>
      </c>
      <c r="E19" s="59" t="s">
        <v>79</v>
      </c>
      <c r="F19" s="41" t="s">
        <v>44</v>
      </c>
      <c r="G19" s="62">
        <v>2</v>
      </c>
      <c r="H19" s="49">
        <v>500</v>
      </c>
      <c r="I19" s="74">
        <f>H19*G19</f>
        <v>1000</v>
      </c>
      <c r="J19" s="41" t="s">
        <v>45</v>
      </c>
      <c r="K19" s="41" t="s">
        <v>493</v>
      </c>
      <c r="L19" s="41" t="s">
        <v>46</v>
      </c>
      <c r="M19" s="41" t="s">
        <v>86</v>
      </c>
      <c r="N19" s="77" t="s">
        <v>503</v>
      </c>
    </row>
    <row r="20" spans="1:14" ht="15" customHeight="1">
      <c r="B20" s="41" t="s">
        <v>486</v>
      </c>
      <c r="C20" s="41" t="s">
        <v>80</v>
      </c>
      <c r="D20" s="41" t="s">
        <v>39</v>
      </c>
      <c r="E20" s="59" t="s">
        <v>81</v>
      </c>
      <c r="F20" s="41" t="s">
        <v>54</v>
      </c>
      <c r="G20" s="41">
        <v>11</v>
      </c>
      <c r="H20" s="49">
        <v>100</v>
      </c>
      <c r="I20" s="74">
        <f t="shared" ref="I20:I24" si="1">H20*G20</f>
        <v>1100</v>
      </c>
      <c r="J20" s="41" t="s">
        <v>55</v>
      </c>
      <c r="K20" s="41" t="s">
        <v>56</v>
      </c>
      <c r="L20" s="41" t="s">
        <v>46</v>
      </c>
      <c r="M20" s="41" t="s">
        <v>495</v>
      </c>
      <c r="N20" s="77">
        <f>VLOOKUP(M20,'Aux2'!$B$2:$C$21,2,0)</f>
        <v>44630</v>
      </c>
    </row>
    <row r="21" spans="1:14" ht="15" customHeight="1">
      <c r="B21" s="41" t="s">
        <v>486</v>
      </c>
      <c r="C21" s="41" t="s">
        <v>82</v>
      </c>
      <c r="D21" s="41" t="s">
        <v>39</v>
      </c>
      <c r="E21" s="59" t="s">
        <v>83</v>
      </c>
      <c r="F21" s="41" t="s">
        <v>54</v>
      </c>
      <c r="G21" s="41">
        <v>1</v>
      </c>
      <c r="H21" s="49">
        <v>100</v>
      </c>
      <c r="I21" s="74">
        <f t="shared" si="1"/>
        <v>100</v>
      </c>
      <c r="J21" s="41" t="s">
        <v>55</v>
      </c>
      <c r="K21" s="41" t="s">
        <v>56</v>
      </c>
      <c r="L21" s="41" t="s">
        <v>46</v>
      </c>
      <c r="M21" s="41" t="s">
        <v>495</v>
      </c>
      <c r="N21" s="77">
        <f>VLOOKUP(M21,'Aux2'!$B$2:$C$21,2,0)</f>
        <v>44630</v>
      </c>
    </row>
    <row r="22" spans="1:14" ht="15" customHeight="1">
      <c r="B22" s="41" t="s">
        <v>486</v>
      </c>
      <c r="C22" s="41" t="s">
        <v>84</v>
      </c>
      <c r="D22" s="41" t="s">
        <v>39</v>
      </c>
      <c r="E22" s="59" t="s">
        <v>85</v>
      </c>
      <c r="F22" s="41" t="s">
        <v>54</v>
      </c>
      <c r="G22" s="41">
        <v>1</v>
      </c>
      <c r="H22" s="49">
        <v>100</v>
      </c>
      <c r="I22" s="74">
        <f t="shared" si="1"/>
        <v>100</v>
      </c>
      <c r="J22" s="41" t="s">
        <v>55</v>
      </c>
      <c r="K22" s="41" t="s">
        <v>61</v>
      </c>
      <c r="L22" s="41" t="s">
        <v>46</v>
      </c>
      <c r="M22" s="41" t="s">
        <v>496</v>
      </c>
      <c r="N22" s="77">
        <f>VLOOKUP(M22,'Aux2'!$B$2:$C$21,2,0)</f>
        <v>44672</v>
      </c>
    </row>
    <row r="23" spans="1:14" ht="15" customHeight="1">
      <c r="A23" s="46"/>
      <c r="B23" s="46"/>
      <c r="C23" s="46" t="s">
        <v>87</v>
      </c>
      <c r="D23" s="46" t="s">
        <v>39</v>
      </c>
      <c r="E23" s="60" t="s">
        <v>88</v>
      </c>
      <c r="F23" s="46"/>
      <c r="G23" s="46"/>
      <c r="H23" s="50"/>
      <c r="I23" s="73">
        <f>SUM(I24:I29)</f>
        <v>900</v>
      </c>
      <c r="J23" s="48"/>
      <c r="K23" s="48"/>
      <c r="L23" s="48"/>
      <c r="M23" s="48"/>
      <c r="N23" s="76"/>
    </row>
    <row r="24" spans="1:14" ht="15" customHeight="1">
      <c r="B24" s="41" t="s">
        <v>486</v>
      </c>
      <c r="C24" s="41" t="s">
        <v>89</v>
      </c>
      <c r="D24" s="41" t="s">
        <v>39</v>
      </c>
      <c r="E24" s="59" t="s">
        <v>90</v>
      </c>
      <c r="F24" s="41" t="s">
        <v>44</v>
      </c>
      <c r="G24" s="62">
        <v>2</v>
      </c>
      <c r="H24" s="49">
        <v>150</v>
      </c>
      <c r="I24" s="74">
        <f t="shared" si="1"/>
        <v>300</v>
      </c>
      <c r="J24" s="41" t="s">
        <v>45</v>
      </c>
      <c r="K24" s="41" t="s">
        <v>493</v>
      </c>
      <c r="L24" s="41" t="s">
        <v>46</v>
      </c>
      <c r="M24" s="41" t="s">
        <v>91</v>
      </c>
      <c r="N24" s="77" t="s">
        <v>503</v>
      </c>
    </row>
    <row r="25" spans="1:14" ht="15" customHeight="1">
      <c r="B25" s="41" t="s">
        <v>486</v>
      </c>
      <c r="C25" s="41" t="s">
        <v>92</v>
      </c>
      <c r="D25" s="41" t="s">
        <v>39</v>
      </c>
      <c r="E25" s="59" t="s">
        <v>93</v>
      </c>
      <c r="F25" s="41" t="s">
        <v>44</v>
      </c>
      <c r="J25" s="41" t="s">
        <v>45</v>
      </c>
      <c r="K25" s="41" t="s">
        <v>493</v>
      </c>
      <c r="L25" s="41" t="s">
        <v>46</v>
      </c>
    </row>
    <row r="26" spans="1:14" ht="15" customHeight="1">
      <c r="B26" s="41" t="s">
        <v>486</v>
      </c>
      <c r="C26" s="41" t="s">
        <v>94</v>
      </c>
      <c r="D26" s="41" t="s">
        <v>39</v>
      </c>
      <c r="E26" s="59" t="s">
        <v>95</v>
      </c>
      <c r="F26" s="41" t="s">
        <v>44</v>
      </c>
      <c r="J26" s="41" t="s">
        <v>45</v>
      </c>
      <c r="K26" s="41" t="s">
        <v>493</v>
      </c>
      <c r="L26" s="41" t="s">
        <v>46</v>
      </c>
    </row>
    <row r="27" spans="1:14" ht="15" customHeight="1">
      <c r="B27" s="41" t="s">
        <v>486</v>
      </c>
      <c r="C27" s="41" t="s">
        <v>96</v>
      </c>
      <c r="D27" s="41" t="s">
        <v>39</v>
      </c>
      <c r="E27" s="59" t="s">
        <v>97</v>
      </c>
      <c r="F27" s="41" t="s">
        <v>44</v>
      </c>
      <c r="G27" s="62">
        <v>3</v>
      </c>
      <c r="H27" s="49">
        <v>200</v>
      </c>
      <c r="I27" s="74">
        <f t="shared" ref="I27" si="2">H27*G27</f>
        <v>600</v>
      </c>
      <c r="J27" s="41" t="s">
        <v>45</v>
      </c>
      <c r="K27" s="41" t="s">
        <v>493</v>
      </c>
      <c r="L27" s="41" t="s">
        <v>46</v>
      </c>
      <c r="M27" s="41" t="s">
        <v>98</v>
      </c>
      <c r="N27" s="77" t="s">
        <v>503</v>
      </c>
    </row>
    <row r="28" spans="1:14" ht="15" customHeight="1">
      <c r="B28" s="41" t="s">
        <v>486</v>
      </c>
      <c r="C28" s="41" t="s">
        <v>99</v>
      </c>
      <c r="D28" s="41" t="s">
        <v>39</v>
      </c>
      <c r="E28" s="59" t="s">
        <v>100</v>
      </c>
      <c r="F28" s="41" t="s">
        <v>44</v>
      </c>
      <c r="J28" s="41" t="s">
        <v>45</v>
      </c>
      <c r="K28" s="41" t="s">
        <v>493</v>
      </c>
      <c r="L28" s="41" t="s">
        <v>46</v>
      </c>
    </row>
    <row r="29" spans="1:14" ht="15" customHeight="1">
      <c r="B29" s="41" t="s">
        <v>486</v>
      </c>
      <c r="C29" s="41" t="s">
        <v>101</v>
      </c>
      <c r="D29" s="41" t="s">
        <v>39</v>
      </c>
      <c r="E29" s="59" t="s">
        <v>102</v>
      </c>
      <c r="F29" s="41" t="s">
        <v>44</v>
      </c>
      <c r="J29" s="41" t="s">
        <v>45</v>
      </c>
      <c r="K29" s="41" t="s">
        <v>493</v>
      </c>
      <c r="L29" s="41" t="s">
        <v>46</v>
      </c>
    </row>
    <row r="30" spans="1:14" ht="15" customHeight="1">
      <c r="A30" s="46"/>
      <c r="B30" s="46"/>
      <c r="C30" s="46" t="s">
        <v>103</v>
      </c>
      <c r="D30" s="46" t="s">
        <v>39</v>
      </c>
      <c r="E30" s="60" t="s">
        <v>104</v>
      </c>
      <c r="F30" s="46"/>
      <c r="G30" s="46"/>
      <c r="H30" s="50"/>
      <c r="I30" s="73"/>
      <c r="J30" s="48"/>
      <c r="K30" s="48"/>
      <c r="L30" s="48"/>
      <c r="M30" s="48"/>
      <c r="N30" s="76"/>
    </row>
    <row r="31" spans="1:14" ht="15" customHeight="1">
      <c r="B31" s="41" t="s">
        <v>486</v>
      </c>
      <c r="C31" s="41" t="s">
        <v>105</v>
      </c>
      <c r="D31" s="41" t="s">
        <v>39</v>
      </c>
      <c r="E31" s="59" t="s">
        <v>106</v>
      </c>
      <c r="F31" s="41" t="s">
        <v>107</v>
      </c>
      <c r="J31" s="41" t="s">
        <v>55</v>
      </c>
      <c r="K31" s="41" t="s">
        <v>56</v>
      </c>
      <c r="L31" s="41" t="s">
        <v>46</v>
      </c>
    </row>
    <row r="32" spans="1:14" ht="15" customHeight="1">
      <c r="B32" s="41" t="s">
        <v>486</v>
      </c>
      <c r="C32" s="41" t="s">
        <v>108</v>
      </c>
      <c r="D32" s="41" t="s">
        <v>39</v>
      </c>
      <c r="E32" s="59" t="s">
        <v>109</v>
      </c>
      <c r="F32" s="41" t="s">
        <v>107</v>
      </c>
      <c r="J32" s="41" t="s">
        <v>55</v>
      </c>
      <c r="K32" s="41" t="s">
        <v>56</v>
      </c>
      <c r="L32" s="41" t="s">
        <v>46</v>
      </c>
    </row>
    <row r="33" spans="1:14" ht="15" customHeight="1">
      <c r="B33" s="41" t="s">
        <v>486</v>
      </c>
      <c r="C33" s="41" t="s">
        <v>110</v>
      </c>
      <c r="D33" s="41" t="s">
        <v>39</v>
      </c>
      <c r="E33" s="59" t="s">
        <v>111</v>
      </c>
      <c r="F33" s="41" t="s">
        <v>107</v>
      </c>
      <c r="J33" s="41" t="s">
        <v>55</v>
      </c>
      <c r="K33" s="41" t="s">
        <v>56</v>
      </c>
      <c r="L33" s="41" t="s">
        <v>46</v>
      </c>
    </row>
    <row r="34" spans="1:14" ht="15" customHeight="1">
      <c r="B34" s="41" t="s">
        <v>486</v>
      </c>
      <c r="C34" s="41" t="s">
        <v>112</v>
      </c>
      <c r="D34" s="41" t="s">
        <v>39</v>
      </c>
      <c r="E34" s="59" t="s">
        <v>113</v>
      </c>
      <c r="F34" s="41" t="s">
        <v>107</v>
      </c>
      <c r="J34" s="41" t="s">
        <v>55</v>
      </c>
      <c r="K34" s="41" t="s">
        <v>56</v>
      </c>
      <c r="L34" s="41" t="s">
        <v>46</v>
      </c>
    </row>
    <row r="35" spans="1:14" ht="15" customHeight="1">
      <c r="B35" s="41" t="s">
        <v>486</v>
      </c>
      <c r="C35" s="41" t="s">
        <v>114</v>
      </c>
      <c r="D35" s="41" t="s">
        <v>39</v>
      </c>
      <c r="E35" s="59" t="s">
        <v>115</v>
      </c>
      <c r="F35" s="41" t="s">
        <v>107</v>
      </c>
      <c r="J35" s="41" t="s">
        <v>55</v>
      </c>
      <c r="K35" s="41" t="s">
        <v>56</v>
      </c>
      <c r="L35" s="41" t="s">
        <v>46</v>
      </c>
    </row>
    <row r="36" spans="1:14" ht="15" customHeight="1">
      <c r="A36" s="46"/>
      <c r="B36" s="46"/>
      <c r="C36" s="46" t="s">
        <v>116</v>
      </c>
      <c r="D36" s="46" t="s">
        <v>39</v>
      </c>
      <c r="E36" s="60" t="s">
        <v>117</v>
      </c>
      <c r="F36" s="46"/>
      <c r="G36" s="46"/>
      <c r="H36" s="50"/>
      <c r="I36" s="73"/>
      <c r="J36" s="48"/>
      <c r="K36" s="48"/>
      <c r="L36" s="48"/>
      <c r="M36" s="48"/>
      <c r="N36" s="76"/>
    </row>
    <row r="37" spans="1:14" ht="15" customHeight="1">
      <c r="B37" s="41" t="s">
        <v>486</v>
      </c>
      <c r="C37" s="41" t="s">
        <v>118</v>
      </c>
      <c r="D37" s="41" t="s">
        <v>39</v>
      </c>
      <c r="E37" s="59" t="s">
        <v>119</v>
      </c>
      <c r="F37" s="41" t="s">
        <v>107</v>
      </c>
      <c r="J37" s="41" t="s">
        <v>55</v>
      </c>
      <c r="K37" s="41" t="s">
        <v>56</v>
      </c>
      <c r="L37" s="41" t="s">
        <v>46</v>
      </c>
    </row>
    <row r="38" spans="1:14" ht="15" customHeight="1">
      <c r="B38" s="41" t="s">
        <v>486</v>
      </c>
      <c r="C38" s="41" t="s">
        <v>120</v>
      </c>
      <c r="D38" s="41" t="s">
        <v>39</v>
      </c>
      <c r="E38" s="59" t="s">
        <v>121</v>
      </c>
      <c r="F38" s="41" t="s">
        <v>107</v>
      </c>
      <c r="J38" s="41" t="s">
        <v>55</v>
      </c>
      <c r="K38" s="41" t="s">
        <v>56</v>
      </c>
      <c r="L38" s="41" t="s">
        <v>46</v>
      </c>
    </row>
    <row r="39" spans="1:14" ht="15" customHeight="1">
      <c r="A39" s="46" t="s">
        <v>484</v>
      </c>
      <c r="B39" s="46" t="s">
        <v>486</v>
      </c>
      <c r="C39" s="46">
        <v>3</v>
      </c>
      <c r="D39" s="46" t="s">
        <v>122</v>
      </c>
      <c r="E39" s="60" t="s">
        <v>122</v>
      </c>
      <c r="F39" s="46"/>
      <c r="G39" s="48"/>
      <c r="H39" s="50"/>
      <c r="I39" s="73">
        <f>I40+I54+I57+I67+I70+I75+I79</f>
        <v>70520</v>
      </c>
      <c r="J39" s="48"/>
      <c r="K39" s="48"/>
      <c r="L39" s="48"/>
      <c r="M39" s="48"/>
      <c r="N39" s="76"/>
    </row>
    <row r="40" spans="1:14" ht="15" customHeight="1">
      <c r="A40" s="46"/>
      <c r="B40" s="46"/>
      <c r="C40" s="46" t="s">
        <v>123</v>
      </c>
      <c r="D40" s="46" t="s">
        <v>122</v>
      </c>
      <c r="E40" s="60" t="s">
        <v>124</v>
      </c>
      <c r="F40" s="46"/>
      <c r="G40" s="48"/>
      <c r="H40" s="50"/>
      <c r="I40" s="73">
        <f>SUM(I41:I53)</f>
        <v>18500</v>
      </c>
      <c r="J40" s="48"/>
      <c r="K40" s="48"/>
      <c r="L40" s="48"/>
      <c r="M40" s="48"/>
      <c r="N40" s="76"/>
    </row>
    <row r="41" spans="1:14" ht="15" customHeight="1">
      <c r="B41" s="41" t="s">
        <v>486</v>
      </c>
      <c r="C41" s="41" t="s">
        <v>125</v>
      </c>
      <c r="D41" s="41" t="s">
        <v>122</v>
      </c>
      <c r="E41" s="59" t="s">
        <v>126</v>
      </c>
      <c r="F41" s="41" t="s">
        <v>127</v>
      </c>
      <c r="G41" s="51">
        <v>1</v>
      </c>
      <c r="H41" s="49">
        <v>500</v>
      </c>
      <c r="I41" s="74">
        <f>H41*G41</f>
        <v>500</v>
      </c>
      <c r="J41" s="41" t="s">
        <v>55</v>
      </c>
      <c r="K41" s="41" t="s">
        <v>56</v>
      </c>
      <c r="L41" s="41" t="s">
        <v>128</v>
      </c>
      <c r="M41" s="41" t="s">
        <v>28</v>
      </c>
      <c r="N41" s="77">
        <f>VLOOKUP(M41,'Aux2'!$B$2:$C$21,2,0)</f>
        <v>44409</v>
      </c>
    </row>
    <row r="42" spans="1:14" ht="15" customHeight="1">
      <c r="B42" s="41" t="s">
        <v>486</v>
      </c>
      <c r="C42" s="41" t="s">
        <v>129</v>
      </c>
      <c r="D42" s="41" t="s">
        <v>122</v>
      </c>
      <c r="E42" s="59" t="s">
        <v>130</v>
      </c>
      <c r="F42" s="41" t="s">
        <v>127</v>
      </c>
      <c r="G42" s="51">
        <v>1</v>
      </c>
      <c r="H42" s="49">
        <v>1000</v>
      </c>
      <c r="I42" s="74">
        <f t="shared" ref="I42:I69" si="3">H42*G42</f>
        <v>1000</v>
      </c>
      <c r="J42" s="41" t="s">
        <v>55</v>
      </c>
      <c r="K42" s="41" t="s">
        <v>56</v>
      </c>
      <c r="L42" s="41" t="s">
        <v>128</v>
      </c>
      <c r="M42" s="41" t="s">
        <v>28</v>
      </c>
      <c r="N42" s="77">
        <f>VLOOKUP(M42,'Aux2'!$B$2:$C$21,2,0)</f>
        <v>44409</v>
      </c>
    </row>
    <row r="43" spans="1:14" ht="15" customHeight="1">
      <c r="B43" s="41" t="s">
        <v>486</v>
      </c>
      <c r="C43" s="41" t="s">
        <v>131</v>
      </c>
      <c r="D43" s="41" t="s">
        <v>122</v>
      </c>
      <c r="E43" s="59" t="s">
        <v>132</v>
      </c>
      <c r="F43" s="41" t="s">
        <v>127</v>
      </c>
      <c r="G43" s="51">
        <v>1</v>
      </c>
      <c r="H43" s="49">
        <v>5000</v>
      </c>
      <c r="I43" s="74">
        <f t="shared" si="3"/>
        <v>5000</v>
      </c>
      <c r="J43" s="41" t="s">
        <v>55</v>
      </c>
      <c r="K43" s="41" t="s">
        <v>56</v>
      </c>
      <c r="L43" s="41" t="s">
        <v>128</v>
      </c>
      <c r="M43" s="41" t="s">
        <v>28</v>
      </c>
      <c r="N43" s="77">
        <f>VLOOKUP(M43,'Aux2'!$B$2:$C$21,2,0)</f>
        <v>44409</v>
      </c>
    </row>
    <row r="44" spans="1:14" ht="15" customHeight="1">
      <c r="B44" s="41" t="s">
        <v>486</v>
      </c>
      <c r="C44" s="41" t="s">
        <v>133</v>
      </c>
      <c r="D44" s="41" t="s">
        <v>122</v>
      </c>
      <c r="E44" s="59" t="s">
        <v>134</v>
      </c>
      <c r="F44" s="41" t="s">
        <v>127</v>
      </c>
      <c r="G44" s="51">
        <v>1</v>
      </c>
      <c r="H44" s="49">
        <v>1000</v>
      </c>
      <c r="I44" s="74">
        <f t="shared" si="3"/>
        <v>1000</v>
      </c>
      <c r="J44" s="41" t="s">
        <v>55</v>
      </c>
      <c r="K44" s="41" t="s">
        <v>56</v>
      </c>
      <c r="L44" s="41" t="s">
        <v>128</v>
      </c>
      <c r="M44" s="41" t="s">
        <v>28</v>
      </c>
      <c r="N44" s="77">
        <f>VLOOKUP(M44,'Aux2'!$B$2:$C$21,2,0)</f>
        <v>44409</v>
      </c>
    </row>
    <row r="45" spans="1:14" ht="15" customHeight="1">
      <c r="B45" s="41" t="s">
        <v>486</v>
      </c>
      <c r="C45" s="41" t="s">
        <v>135</v>
      </c>
      <c r="D45" s="41" t="s">
        <v>122</v>
      </c>
      <c r="E45" s="59" t="s">
        <v>136</v>
      </c>
      <c r="F45" s="41" t="s">
        <v>127</v>
      </c>
      <c r="G45" s="51">
        <v>1</v>
      </c>
      <c r="H45" s="49">
        <v>500</v>
      </c>
      <c r="I45" s="74">
        <f t="shared" si="3"/>
        <v>500</v>
      </c>
      <c r="J45" s="41" t="s">
        <v>55</v>
      </c>
      <c r="K45" s="41" t="s">
        <v>56</v>
      </c>
      <c r="L45" s="41" t="s">
        <v>128</v>
      </c>
      <c r="M45" s="41" t="s">
        <v>28</v>
      </c>
      <c r="N45" s="77">
        <f>VLOOKUP(M45,'Aux2'!$B$2:$C$21,2,0)</f>
        <v>44409</v>
      </c>
    </row>
    <row r="46" spans="1:14" ht="15" customHeight="1">
      <c r="B46" s="41" t="s">
        <v>486</v>
      </c>
      <c r="C46" s="41" t="s">
        <v>137</v>
      </c>
      <c r="D46" s="41" t="s">
        <v>122</v>
      </c>
      <c r="E46" s="59" t="s">
        <v>138</v>
      </c>
      <c r="F46" s="41" t="s">
        <v>127</v>
      </c>
      <c r="G46" s="51">
        <v>1</v>
      </c>
      <c r="H46" s="49">
        <v>500</v>
      </c>
      <c r="I46" s="74">
        <f t="shared" si="3"/>
        <v>500</v>
      </c>
      <c r="J46" s="41" t="s">
        <v>55</v>
      </c>
      <c r="K46" s="41" t="s">
        <v>56</v>
      </c>
      <c r="L46" s="41" t="s">
        <v>128</v>
      </c>
      <c r="M46" s="41" t="s">
        <v>28</v>
      </c>
      <c r="N46" s="77">
        <f>VLOOKUP(M46,'Aux2'!$B$2:$C$21,2,0)</f>
        <v>44409</v>
      </c>
    </row>
    <row r="47" spans="1:14" ht="15" customHeight="1">
      <c r="B47" s="41" t="s">
        <v>486</v>
      </c>
      <c r="C47" s="41" t="s">
        <v>139</v>
      </c>
      <c r="D47" s="41" t="s">
        <v>122</v>
      </c>
      <c r="E47" s="59" t="s">
        <v>140</v>
      </c>
      <c r="F47" s="41" t="s">
        <v>127</v>
      </c>
      <c r="G47" s="51">
        <v>1</v>
      </c>
      <c r="H47" s="49">
        <v>2500</v>
      </c>
      <c r="I47" s="74">
        <f t="shared" si="3"/>
        <v>2500</v>
      </c>
      <c r="J47" s="41" t="s">
        <v>55</v>
      </c>
      <c r="K47" s="41" t="s">
        <v>56</v>
      </c>
      <c r="L47" s="41" t="s">
        <v>128</v>
      </c>
      <c r="M47" s="41" t="s">
        <v>28</v>
      </c>
      <c r="N47" s="77">
        <f>VLOOKUP(M47,'Aux2'!$B$2:$C$21,2,0)</f>
        <v>44409</v>
      </c>
    </row>
    <row r="48" spans="1:14" ht="15" customHeight="1">
      <c r="B48" s="41" t="s">
        <v>486</v>
      </c>
      <c r="C48" s="41" t="s">
        <v>141</v>
      </c>
      <c r="D48" s="41" t="s">
        <v>122</v>
      </c>
      <c r="E48" s="59" t="s">
        <v>142</v>
      </c>
      <c r="F48" s="41" t="s">
        <v>127</v>
      </c>
      <c r="G48" s="51">
        <v>1</v>
      </c>
      <c r="H48" s="49">
        <v>5000</v>
      </c>
      <c r="I48" s="74">
        <f t="shared" si="3"/>
        <v>5000</v>
      </c>
      <c r="J48" s="41" t="s">
        <v>55</v>
      </c>
      <c r="K48" s="41" t="s">
        <v>56</v>
      </c>
      <c r="L48" s="41" t="s">
        <v>128</v>
      </c>
      <c r="M48" s="41" t="s">
        <v>28</v>
      </c>
      <c r="N48" s="77">
        <f>VLOOKUP(M48,'Aux2'!$B$2:$C$21,2,0)</f>
        <v>44409</v>
      </c>
    </row>
    <row r="49" spans="1:14" ht="15" customHeight="1">
      <c r="B49" s="41" t="s">
        <v>486</v>
      </c>
      <c r="C49" s="41" t="s">
        <v>143</v>
      </c>
      <c r="D49" s="41" t="s">
        <v>122</v>
      </c>
      <c r="E49" s="59" t="s">
        <v>144</v>
      </c>
      <c r="F49" s="41" t="s">
        <v>127</v>
      </c>
      <c r="G49" s="51">
        <v>1</v>
      </c>
      <c r="H49" s="49">
        <v>500</v>
      </c>
      <c r="I49" s="74">
        <f t="shared" si="3"/>
        <v>500</v>
      </c>
      <c r="J49" s="41" t="s">
        <v>55</v>
      </c>
      <c r="K49" s="41" t="s">
        <v>56</v>
      </c>
      <c r="L49" s="41" t="s">
        <v>128</v>
      </c>
      <c r="M49" s="41" t="s">
        <v>28</v>
      </c>
      <c r="N49" s="77">
        <f>VLOOKUP(M49,'Aux2'!$B$2:$C$21,2,0)</f>
        <v>44409</v>
      </c>
    </row>
    <row r="50" spans="1:14" ht="15" customHeight="1">
      <c r="B50" s="41" t="s">
        <v>486</v>
      </c>
      <c r="C50" s="41" t="s">
        <v>145</v>
      </c>
      <c r="D50" s="41" t="s">
        <v>122</v>
      </c>
      <c r="E50" s="59" t="s">
        <v>146</v>
      </c>
      <c r="F50" s="41" t="s">
        <v>127</v>
      </c>
      <c r="G50" s="51">
        <v>1</v>
      </c>
      <c r="H50" s="49">
        <v>500</v>
      </c>
      <c r="I50" s="74">
        <f t="shared" si="3"/>
        <v>500</v>
      </c>
      <c r="J50" s="41" t="s">
        <v>55</v>
      </c>
      <c r="K50" s="41" t="s">
        <v>56</v>
      </c>
      <c r="L50" s="41" t="s">
        <v>128</v>
      </c>
      <c r="M50" s="41" t="s">
        <v>28</v>
      </c>
      <c r="N50" s="77">
        <f>VLOOKUP(M50,'Aux2'!$B$2:$C$21,2,0)</f>
        <v>44409</v>
      </c>
    </row>
    <row r="51" spans="1:14" ht="15" customHeight="1">
      <c r="B51" s="41" t="s">
        <v>486</v>
      </c>
      <c r="C51" s="41" t="s">
        <v>147</v>
      </c>
      <c r="D51" s="41" t="s">
        <v>122</v>
      </c>
      <c r="E51" s="59" t="s">
        <v>148</v>
      </c>
      <c r="F51" s="41" t="s">
        <v>127</v>
      </c>
      <c r="G51" s="51">
        <v>1</v>
      </c>
      <c r="H51" s="49">
        <v>1000</v>
      </c>
      <c r="I51" s="74">
        <f t="shared" si="3"/>
        <v>1000</v>
      </c>
      <c r="J51" s="41" t="s">
        <v>55</v>
      </c>
      <c r="K51" s="41" t="s">
        <v>483</v>
      </c>
      <c r="L51" s="41" t="s">
        <v>128</v>
      </c>
      <c r="M51" s="41" t="s">
        <v>29</v>
      </c>
      <c r="N51" s="77">
        <f>VLOOKUP(M51,'Aux2'!$B$2:$C$21,2,0)</f>
        <v>44743</v>
      </c>
    </row>
    <row r="52" spans="1:14" ht="15" customHeight="1">
      <c r="B52" s="41" t="s">
        <v>486</v>
      </c>
      <c r="C52" s="41" t="s">
        <v>149</v>
      </c>
      <c r="D52" s="41" t="s">
        <v>122</v>
      </c>
      <c r="E52" s="59" t="s">
        <v>150</v>
      </c>
      <c r="F52" s="41" t="s">
        <v>127</v>
      </c>
      <c r="G52" s="51">
        <v>1</v>
      </c>
      <c r="H52" s="49">
        <v>250</v>
      </c>
      <c r="I52" s="74">
        <f t="shared" si="3"/>
        <v>250</v>
      </c>
      <c r="J52" s="41" t="s">
        <v>55</v>
      </c>
      <c r="K52" s="41" t="s">
        <v>56</v>
      </c>
      <c r="L52" s="41" t="s">
        <v>128</v>
      </c>
      <c r="M52" s="41" t="s">
        <v>28</v>
      </c>
      <c r="N52" s="77">
        <f>VLOOKUP(M52,'Aux2'!$B$2:$C$21,2,0)</f>
        <v>44409</v>
      </c>
    </row>
    <row r="53" spans="1:14" ht="15" customHeight="1">
      <c r="B53" s="41" t="s">
        <v>486</v>
      </c>
      <c r="C53" s="41" t="s">
        <v>151</v>
      </c>
      <c r="D53" s="41" t="s">
        <v>122</v>
      </c>
      <c r="E53" s="59" t="s">
        <v>152</v>
      </c>
      <c r="F53" s="41" t="s">
        <v>127</v>
      </c>
      <c r="G53" s="51">
        <v>1</v>
      </c>
      <c r="H53" s="49">
        <v>250</v>
      </c>
      <c r="I53" s="74">
        <f t="shared" si="3"/>
        <v>250</v>
      </c>
      <c r="J53" s="41" t="s">
        <v>55</v>
      </c>
      <c r="K53" s="41" t="s">
        <v>56</v>
      </c>
      <c r="L53" s="41" t="s">
        <v>128</v>
      </c>
      <c r="M53" s="41" t="s">
        <v>28</v>
      </c>
      <c r="N53" s="77">
        <f>VLOOKUP(M53,'Aux2'!$B$2:$C$21,2,0)</f>
        <v>44409</v>
      </c>
    </row>
    <row r="54" spans="1:14" ht="15" customHeight="1">
      <c r="A54" s="46"/>
      <c r="B54" s="46"/>
      <c r="C54" s="46" t="s">
        <v>153</v>
      </c>
      <c r="D54" s="46" t="s">
        <v>122</v>
      </c>
      <c r="E54" s="60" t="s">
        <v>154</v>
      </c>
      <c r="F54" s="46"/>
      <c r="G54" s="48"/>
      <c r="H54" s="50"/>
      <c r="I54" s="73">
        <f>I55+I56</f>
        <v>3550</v>
      </c>
      <c r="J54" s="48"/>
      <c r="K54" s="48"/>
      <c r="L54" s="48"/>
      <c r="M54" s="48"/>
      <c r="N54" s="76"/>
    </row>
    <row r="55" spans="1:14" ht="15" customHeight="1">
      <c r="B55" s="41" t="s">
        <v>486</v>
      </c>
      <c r="C55" s="41" t="s">
        <v>155</v>
      </c>
      <c r="D55" s="41" t="s">
        <v>122</v>
      </c>
      <c r="E55" s="59" t="s">
        <v>156</v>
      </c>
      <c r="F55" s="41" t="s">
        <v>44</v>
      </c>
      <c r="G55" s="51">
        <v>11</v>
      </c>
      <c r="H55" s="49">
        <v>300</v>
      </c>
      <c r="I55" s="74">
        <f t="shared" si="3"/>
        <v>3300</v>
      </c>
      <c r="J55" s="41" t="s">
        <v>45</v>
      </c>
      <c r="K55" s="41" t="s">
        <v>492</v>
      </c>
      <c r="L55" s="41" t="s">
        <v>35</v>
      </c>
      <c r="M55" s="41" t="s">
        <v>157</v>
      </c>
      <c r="N55" s="77" t="s">
        <v>157</v>
      </c>
    </row>
    <row r="56" spans="1:14" ht="15" customHeight="1">
      <c r="B56" s="41" t="s">
        <v>486</v>
      </c>
      <c r="C56" s="41" t="s">
        <v>158</v>
      </c>
      <c r="D56" s="41" t="s">
        <v>122</v>
      </c>
      <c r="E56" s="59" t="s">
        <v>159</v>
      </c>
      <c r="F56" s="41" t="s">
        <v>127</v>
      </c>
      <c r="G56" s="51">
        <v>1</v>
      </c>
      <c r="H56" s="49">
        <v>250</v>
      </c>
      <c r="I56" s="74">
        <f t="shared" si="3"/>
        <v>250</v>
      </c>
      <c r="J56" s="41" t="s">
        <v>55</v>
      </c>
      <c r="K56" s="41" t="s">
        <v>56</v>
      </c>
      <c r="L56" s="41" t="s">
        <v>46</v>
      </c>
      <c r="M56" s="41" t="s">
        <v>497</v>
      </c>
      <c r="N56" s="77">
        <f>VLOOKUP(M56,'Aux2'!$B$2:$C$21,2,0)</f>
        <v>44580</v>
      </c>
    </row>
    <row r="57" spans="1:14" ht="15" customHeight="1">
      <c r="A57" s="46"/>
      <c r="B57" s="46"/>
      <c r="C57" s="46" t="s">
        <v>160</v>
      </c>
      <c r="D57" s="46" t="s">
        <v>122</v>
      </c>
      <c r="E57" s="60" t="s">
        <v>161</v>
      </c>
      <c r="F57" s="46"/>
      <c r="G57" s="48"/>
      <c r="H57" s="50"/>
      <c r="I57" s="73">
        <f>SUM(I58:I66)</f>
        <v>7370</v>
      </c>
      <c r="J57" s="48"/>
      <c r="K57" s="48"/>
      <c r="L57" s="48"/>
      <c r="M57" s="48"/>
      <c r="N57" s="76"/>
    </row>
    <row r="58" spans="1:14" ht="15" customHeight="1">
      <c r="B58" s="41" t="s">
        <v>486</v>
      </c>
      <c r="C58" s="41" t="s">
        <v>162</v>
      </c>
      <c r="D58" s="41" t="s">
        <v>122</v>
      </c>
      <c r="E58" s="59" t="s">
        <v>163</v>
      </c>
      <c r="F58" s="41" t="s">
        <v>44</v>
      </c>
      <c r="G58" s="51">
        <v>11</v>
      </c>
      <c r="H58" s="49">
        <v>150</v>
      </c>
      <c r="I58" s="74">
        <f t="shared" si="3"/>
        <v>1650</v>
      </c>
      <c r="J58" s="41" t="s">
        <v>45</v>
      </c>
      <c r="K58" s="41" t="s">
        <v>492</v>
      </c>
      <c r="L58" s="41" t="s">
        <v>35</v>
      </c>
      <c r="M58" s="41" t="s">
        <v>157</v>
      </c>
      <c r="N58" s="77" t="s">
        <v>157</v>
      </c>
    </row>
    <row r="59" spans="1:14" ht="15" customHeight="1">
      <c r="B59" s="41" t="s">
        <v>486</v>
      </c>
      <c r="C59" s="41" t="s">
        <v>164</v>
      </c>
      <c r="D59" s="41" t="s">
        <v>122</v>
      </c>
      <c r="E59" s="59" t="s">
        <v>165</v>
      </c>
      <c r="F59" s="41" t="s">
        <v>44</v>
      </c>
      <c r="G59" s="51">
        <v>11</v>
      </c>
      <c r="H59" s="49">
        <v>50</v>
      </c>
      <c r="I59" s="74">
        <f t="shared" si="3"/>
        <v>550</v>
      </c>
      <c r="J59" s="41" t="s">
        <v>45</v>
      </c>
      <c r="K59" s="41" t="s">
        <v>492</v>
      </c>
      <c r="L59" s="41" t="s">
        <v>35</v>
      </c>
      <c r="M59" s="41" t="s">
        <v>157</v>
      </c>
      <c r="N59" s="77" t="s">
        <v>157</v>
      </c>
    </row>
    <row r="60" spans="1:14" ht="15" customHeight="1">
      <c r="B60" s="41" t="s">
        <v>486</v>
      </c>
      <c r="C60" s="41" t="s">
        <v>166</v>
      </c>
      <c r="D60" s="41" t="s">
        <v>122</v>
      </c>
      <c r="E60" s="59" t="s">
        <v>167</v>
      </c>
      <c r="F60" s="41" t="s">
        <v>44</v>
      </c>
      <c r="G60" s="51">
        <v>11</v>
      </c>
      <c r="H60" s="49">
        <v>50</v>
      </c>
      <c r="I60" s="74">
        <f t="shared" si="3"/>
        <v>550</v>
      </c>
      <c r="J60" s="41" t="s">
        <v>45</v>
      </c>
      <c r="K60" s="41" t="s">
        <v>492</v>
      </c>
      <c r="L60" s="41" t="s">
        <v>35</v>
      </c>
      <c r="M60" s="41" t="s">
        <v>157</v>
      </c>
      <c r="N60" s="77" t="s">
        <v>157</v>
      </c>
    </row>
    <row r="61" spans="1:14" ht="15" customHeight="1">
      <c r="B61" s="41" t="s">
        <v>486</v>
      </c>
      <c r="C61" s="41" t="s">
        <v>168</v>
      </c>
      <c r="D61" s="41" t="s">
        <v>122</v>
      </c>
      <c r="E61" s="59" t="s">
        <v>169</v>
      </c>
      <c r="F61" s="41" t="s">
        <v>44</v>
      </c>
      <c r="G61" s="51">
        <v>11</v>
      </c>
      <c r="H61" s="49">
        <v>80</v>
      </c>
      <c r="I61" s="74">
        <f t="shared" si="3"/>
        <v>880</v>
      </c>
      <c r="J61" s="41" t="s">
        <v>45</v>
      </c>
      <c r="K61" s="41" t="s">
        <v>492</v>
      </c>
      <c r="L61" s="41" t="s">
        <v>35</v>
      </c>
      <c r="M61" s="41" t="s">
        <v>157</v>
      </c>
      <c r="N61" s="77" t="s">
        <v>157</v>
      </c>
    </row>
    <row r="62" spans="1:14" ht="15" customHeight="1">
      <c r="B62" s="41" t="s">
        <v>486</v>
      </c>
      <c r="C62" s="41" t="s">
        <v>170</v>
      </c>
      <c r="D62" s="41" t="s">
        <v>122</v>
      </c>
      <c r="E62" s="59" t="s">
        <v>171</v>
      </c>
      <c r="F62" s="41" t="s">
        <v>44</v>
      </c>
      <c r="G62" s="51">
        <v>11</v>
      </c>
      <c r="H62" s="49">
        <v>80</v>
      </c>
      <c r="I62" s="74">
        <f t="shared" si="3"/>
        <v>880</v>
      </c>
      <c r="J62" s="41" t="s">
        <v>45</v>
      </c>
      <c r="K62" s="41" t="s">
        <v>492</v>
      </c>
      <c r="L62" s="41" t="s">
        <v>35</v>
      </c>
      <c r="M62" s="41" t="s">
        <v>157</v>
      </c>
      <c r="N62" s="77" t="s">
        <v>157</v>
      </c>
    </row>
    <row r="63" spans="1:14" ht="15" customHeight="1">
      <c r="B63" s="41" t="s">
        <v>486</v>
      </c>
      <c r="C63" s="41" t="s">
        <v>172</v>
      </c>
      <c r="D63" s="41" t="s">
        <v>122</v>
      </c>
      <c r="E63" s="59" t="s">
        <v>173</v>
      </c>
      <c r="F63" s="41" t="s">
        <v>44</v>
      </c>
      <c r="G63" s="51">
        <v>11</v>
      </c>
      <c r="H63" s="49">
        <v>80</v>
      </c>
      <c r="I63" s="74">
        <f t="shared" si="3"/>
        <v>880</v>
      </c>
      <c r="J63" s="41" t="s">
        <v>45</v>
      </c>
      <c r="K63" s="41" t="s">
        <v>492</v>
      </c>
      <c r="L63" s="41" t="s">
        <v>35</v>
      </c>
      <c r="M63" s="41" t="s">
        <v>157</v>
      </c>
      <c r="N63" s="77" t="s">
        <v>157</v>
      </c>
    </row>
    <row r="64" spans="1:14" ht="15" customHeight="1">
      <c r="B64" s="41" t="s">
        <v>486</v>
      </c>
      <c r="C64" s="41" t="s">
        <v>174</v>
      </c>
      <c r="D64" s="41" t="s">
        <v>122</v>
      </c>
      <c r="E64" s="59" t="s">
        <v>175</v>
      </c>
      <c r="F64" s="41" t="s">
        <v>44</v>
      </c>
      <c r="G64" s="51"/>
      <c r="J64" s="41" t="s">
        <v>45</v>
      </c>
      <c r="K64" s="41" t="s">
        <v>492</v>
      </c>
      <c r="L64" s="41" t="s">
        <v>35</v>
      </c>
    </row>
    <row r="65" spans="1:14" ht="15" customHeight="1">
      <c r="B65" s="41" t="s">
        <v>486</v>
      </c>
      <c r="C65" s="41" t="s">
        <v>176</v>
      </c>
      <c r="D65" s="41" t="s">
        <v>122</v>
      </c>
      <c r="E65" s="59" t="s">
        <v>177</v>
      </c>
      <c r="F65" s="41" t="s">
        <v>44</v>
      </c>
      <c r="G65" s="51">
        <v>11</v>
      </c>
      <c r="H65" s="49">
        <v>100</v>
      </c>
      <c r="I65" s="74">
        <f t="shared" si="3"/>
        <v>1100</v>
      </c>
      <c r="J65" s="41" t="s">
        <v>45</v>
      </c>
      <c r="K65" s="41" t="s">
        <v>492</v>
      </c>
      <c r="L65" s="41" t="s">
        <v>35</v>
      </c>
      <c r="M65" s="41" t="s">
        <v>157</v>
      </c>
      <c r="N65" s="77" t="s">
        <v>157</v>
      </c>
    </row>
    <row r="66" spans="1:14" ht="15" customHeight="1">
      <c r="B66" s="41" t="s">
        <v>486</v>
      </c>
      <c r="C66" s="41" t="s">
        <v>178</v>
      </c>
      <c r="D66" s="41" t="s">
        <v>122</v>
      </c>
      <c r="E66" s="59" t="s">
        <v>179</v>
      </c>
      <c r="F66" s="41" t="s">
        <v>44</v>
      </c>
      <c r="G66" s="51">
        <v>11</v>
      </c>
      <c r="H66" s="49">
        <v>80</v>
      </c>
      <c r="I66" s="74">
        <f t="shared" si="3"/>
        <v>880</v>
      </c>
      <c r="J66" s="41" t="s">
        <v>45</v>
      </c>
      <c r="K66" s="41" t="s">
        <v>492</v>
      </c>
      <c r="L66" s="41" t="s">
        <v>35</v>
      </c>
      <c r="M66" s="41" t="s">
        <v>157</v>
      </c>
      <c r="N66" s="77" t="s">
        <v>157</v>
      </c>
    </row>
    <row r="67" spans="1:14" ht="15" customHeight="1">
      <c r="A67" s="46"/>
      <c r="B67" s="46"/>
      <c r="C67" s="46" t="s">
        <v>180</v>
      </c>
      <c r="D67" s="46" t="s">
        <v>122</v>
      </c>
      <c r="E67" s="60" t="s">
        <v>181</v>
      </c>
      <c r="F67" s="46"/>
      <c r="G67" s="48"/>
      <c r="H67" s="50"/>
      <c r="I67" s="73">
        <f>I68+I69</f>
        <v>12000</v>
      </c>
      <c r="J67" s="48"/>
      <c r="K67" s="48"/>
      <c r="L67" s="48"/>
      <c r="M67" s="48"/>
      <c r="N67" s="76"/>
    </row>
    <row r="68" spans="1:14" ht="15" customHeight="1">
      <c r="B68" s="41" t="s">
        <v>486</v>
      </c>
      <c r="C68" s="41" t="s">
        <v>182</v>
      </c>
      <c r="D68" s="41" t="s">
        <v>122</v>
      </c>
      <c r="E68" s="59" t="s">
        <v>183</v>
      </c>
      <c r="F68" s="41" t="s">
        <v>44</v>
      </c>
      <c r="G68" s="51">
        <v>11</v>
      </c>
      <c r="H68" s="49">
        <v>1000</v>
      </c>
      <c r="I68" s="74">
        <f t="shared" si="3"/>
        <v>11000</v>
      </c>
      <c r="J68" s="41" t="s">
        <v>45</v>
      </c>
      <c r="K68" s="41" t="s">
        <v>492</v>
      </c>
      <c r="L68" s="41" t="s">
        <v>35</v>
      </c>
      <c r="M68" s="41" t="s">
        <v>157</v>
      </c>
      <c r="N68" s="77" t="s">
        <v>157</v>
      </c>
    </row>
    <row r="69" spans="1:14" ht="15" customHeight="1">
      <c r="B69" s="41" t="s">
        <v>486</v>
      </c>
      <c r="C69" s="41" t="s">
        <v>184</v>
      </c>
      <c r="D69" s="41" t="s">
        <v>122</v>
      </c>
      <c r="E69" s="59" t="s">
        <v>185</v>
      </c>
      <c r="F69" s="41" t="s">
        <v>127</v>
      </c>
      <c r="G69" s="51">
        <v>1</v>
      </c>
      <c r="H69" s="49">
        <v>1000</v>
      </c>
      <c r="I69" s="74">
        <f t="shared" si="3"/>
        <v>1000</v>
      </c>
      <c r="J69" s="41" t="s">
        <v>55</v>
      </c>
      <c r="K69" s="41" t="s">
        <v>56</v>
      </c>
      <c r="L69" s="41" t="s">
        <v>128</v>
      </c>
      <c r="M69" s="41" t="s">
        <v>28</v>
      </c>
      <c r="N69" s="77">
        <f>VLOOKUP(M69,'Aux2'!$B$2:$C$21,2,0)</f>
        <v>44409</v>
      </c>
    </row>
    <row r="70" spans="1:14" ht="15" customHeight="1">
      <c r="A70" s="46"/>
      <c r="B70" s="46"/>
      <c r="C70" s="46" t="s">
        <v>186</v>
      </c>
      <c r="D70" s="46" t="s">
        <v>122</v>
      </c>
      <c r="E70" s="60" t="s">
        <v>187</v>
      </c>
      <c r="F70" s="46"/>
      <c r="G70" s="48"/>
      <c r="H70" s="50"/>
      <c r="I70" s="73">
        <f>SUM(I71:I74)</f>
        <v>11000</v>
      </c>
      <c r="J70" s="48"/>
      <c r="K70" s="48"/>
      <c r="L70" s="48"/>
      <c r="M70" s="48"/>
      <c r="N70" s="76"/>
    </row>
    <row r="71" spans="1:14" ht="15" customHeight="1">
      <c r="B71" s="41" t="s">
        <v>486</v>
      </c>
      <c r="C71" s="41" t="s">
        <v>188</v>
      </c>
      <c r="D71" s="41" t="s">
        <v>122</v>
      </c>
      <c r="E71" s="59" t="s">
        <v>189</v>
      </c>
      <c r="F71" s="41" t="s">
        <v>44</v>
      </c>
      <c r="G71" s="51">
        <v>11</v>
      </c>
      <c r="H71" s="49">
        <v>250</v>
      </c>
      <c r="I71" s="74">
        <f t="shared" ref="I71:I74" si="4">H71*G71</f>
        <v>2750</v>
      </c>
      <c r="J71" s="41" t="s">
        <v>45</v>
      </c>
      <c r="K71" s="41" t="s">
        <v>492</v>
      </c>
      <c r="L71" s="41" t="s">
        <v>35</v>
      </c>
      <c r="M71" s="41" t="s">
        <v>157</v>
      </c>
      <c r="N71" s="77" t="s">
        <v>157</v>
      </c>
    </row>
    <row r="72" spans="1:14" ht="15" customHeight="1">
      <c r="B72" s="41" t="s">
        <v>486</v>
      </c>
      <c r="C72" s="41" t="s">
        <v>190</v>
      </c>
      <c r="D72" s="41" t="s">
        <v>122</v>
      </c>
      <c r="E72" s="59" t="s">
        <v>191</v>
      </c>
      <c r="F72" s="41" t="s">
        <v>44</v>
      </c>
      <c r="G72" s="51">
        <v>11</v>
      </c>
      <c r="H72" s="49">
        <v>250</v>
      </c>
      <c r="I72" s="74">
        <f t="shared" si="4"/>
        <v>2750</v>
      </c>
      <c r="J72" s="41" t="s">
        <v>45</v>
      </c>
      <c r="K72" s="41" t="s">
        <v>492</v>
      </c>
      <c r="L72" s="41" t="s">
        <v>35</v>
      </c>
      <c r="M72" s="41" t="s">
        <v>157</v>
      </c>
      <c r="N72" s="77" t="s">
        <v>157</v>
      </c>
    </row>
    <row r="73" spans="1:14" ht="15" customHeight="1">
      <c r="B73" s="41" t="s">
        <v>486</v>
      </c>
      <c r="C73" s="41" t="s">
        <v>192</v>
      </c>
      <c r="D73" s="41" t="s">
        <v>122</v>
      </c>
      <c r="E73" s="59" t="s">
        <v>193</v>
      </c>
      <c r="F73" s="41" t="s">
        <v>44</v>
      </c>
      <c r="G73" s="51">
        <v>11</v>
      </c>
      <c r="H73" s="49">
        <v>250</v>
      </c>
      <c r="I73" s="74">
        <f t="shared" si="4"/>
        <v>2750</v>
      </c>
      <c r="J73" s="41" t="s">
        <v>45</v>
      </c>
      <c r="K73" s="41" t="s">
        <v>492</v>
      </c>
      <c r="L73" s="41" t="s">
        <v>35</v>
      </c>
      <c r="M73" s="41" t="s">
        <v>157</v>
      </c>
      <c r="N73" s="77" t="s">
        <v>157</v>
      </c>
    </row>
    <row r="74" spans="1:14" ht="15" customHeight="1">
      <c r="B74" s="41" t="s">
        <v>486</v>
      </c>
      <c r="C74" s="41" t="s">
        <v>194</v>
      </c>
      <c r="D74" s="41" t="s">
        <v>122</v>
      </c>
      <c r="E74" s="59" t="s">
        <v>195</v>
      </c>
      <c r="F74" s="41" t="s">
        <v>44</v>
      </c>
      <c r="G74" s="51">
        <v>11</v>
      </c>
      <c r="H74" s="49">
        <v>250</v>
      </c>
      <c r="I74" s="74">
        <f t="shared" si="4"/>
        <v>2750</v>
      </c>
      <c r="J74" s="41" t="s">
        <v>45</v>
      </c>
      <c r="K74" s="41" t="s">
        <v>492</v>
      </c>
      <c r="L74" s="41" t="s">
        <v>35</v>
      </c>
      <c r="M74" s="41" t="s">
        <v>157</v>
      </c>
      <c r="N74" s="77" t="s">
        <v>157</v>
      </c>
    </row>
    <row r="75" spans="1:14" ht="15" customHeight="1">
      <c r="A75" s="46"/>
      <c r="B75" s="46"/>
      <c r="C75" s="46" t="s">
        <v>196</v>
      </c>
      <c r="D75" s="46" t="s">
        <v>122</v>
      </c>
      <c r="E75" s="60" t="s">
        <v>197</v>
      </c>
      <c r="F75" s="46"/>
      <c r="G75" s="48"/>
      <c r="H75" s="50"/>
      <c r="I75" s="73">
        <f>SUM(I76:I78)</f>
        <v>1600</v>
      </c>
      <c r="J75" s="48"/>
      <c r="K75" s="48"/>
      <c r="L75" s="48"/>
      <c r="M75" s="48"/>
      <c r="N75" s="76"/>
    </row>
    <row r="76" spans="1:14" ht="15" customHeight="1">
      <c r="B76" s="41" t="s">
        <v>486</v>
      </c>
      <c r="C76" s="41" t="s">
        <v>198</v>
      </c>
      <c r="D76" s="41" t="s">
        <v>122</v>
      </c>
      <c r="E76" s="59" t="s">
        <v>199</v>
      </c>
      <c r="F76" s="41" t="s">
        <v>127</v>
      </c>
      <c r="G76" s="51">
        <v>1</v>
      </c>
      <c r="H76" s="49">
        <v>1000</v>
      </c>
      <c r="I76" s="74">
        <f t="shared" ref="I76:I82" si="5">H76*G76</f>
        <v>1000</v>
      </c>
      <c r="J76" s="41" t="s">
        <v>55</v>
      </c>
      <c r="K76" s="41" t="s">
        <v>61</v>
      </c>
      <c r="L76" s="41" t="s">
        <v>46</v>
      </c>
      <c r="M76" s="41" t="s">
        <v>498</v>
      </c>
      <c r="N76" s="77">
        <f>VLOOKUP(M76,'Aux2'!$B$2:$C$21,2,0)</f>
        <v>44445</v>
      </c>
    </row>
    <row r="77" spans="1:14" ht="15" customHeight="1">
      <c r="B77" s="41" t="s">
        <v>486</v>
      </c>
      <c r="C77" s="41" t="s">
        <v>200</v>
      </c>
      <c r="D77" s="41" t="s">
        <v>122</v>
      </c>
      <c r="E77" s="59" t="s">
        <v>201</v>
      </c>
      <c r="F77" s="41" t="s">
        <v>44</v>
      </c>
      <c r="G77" s="62">
        <v>2</v>
      </c>
      <c r="H77" s="49">
        <v>150</v>
      </c>
      <c r="I77" s="74">
        <f t="shared" si="5"/>
        <v>300</v>
      </c>
      <c r="J77" s="41" t="s">
        <v>45</v>
      </c>
      <c r="K77" s="41" t="s">
        <v>493</v>
      </c>
      <c r="L77" s="41" t="s">
        <v>46</v>
      </c>
      <c r="M77" s="41" t="s">
        <v>91</v>
      </c>
      <c r="N77" s="77" t="s">
        <v>503</v>
      </c>
    </row>
    <row r="78" spans="1:14" ht="15" customHeight="1">
      <c r="B78" s="41" t="s">
        <v>486</v>
      </c>
      <c r="C78" s="41" t="s">
        <v>202</v>
      </c>
      <c r="D78" s="41" t="s">
        <v>122</v>
      </c>
      <c r="E78" s="59" t="s">
        <v>203</v>
      </c>
      <c r="F78" s="41" t="s">
        <v>44</v>
      </c>
      <c r="G78" s="62">
        <v>2</v>
      </c>
      <c r="H78" s="49">
        <v>150</v>
      </c>
      <c r="I78" s="74">
        <f t="shared" si="5"/>
        <v>300</v>
      </c>
      <c r="J78" s="41" t="s">
        <v>45</v>
      </c>
      <c r="K78" s="41" t="s">
        <v>493</v>
      </c>
      <c r="L78" s="41" t="s">
        <v>46</v>
      </c>
      <c r="M78" s="41" t="s">
        <v>204</v>
      </c>
      <c r="N78" s="77" t="s">
        <v>503</v>
      </c>
    </row>
    <row r="79" spans="1:14" ht="15" customHeight="1">
      <c r="A79" s="46"/>
      <c r="B79" s="46"/>
      <c r="C79" s="46" t="s">
        <v>205</v>
      </c>
      <c r="D79" s="46" t="s">
        <v>122</v>
      </c>
      <c r="E79" s="60" t="s">
        <v>206</v>
      </c>
      <c r="F79" s="46"/>
      <c r="G79" s="48"/>
      <c r="H79" s="50"/>
      <c r="I79" s="73">
        <f>SUM(I80:I82)</f>
        <v>16500</v>
      </c>
      <c r="J79" s="48"/>
      <c r="K79" s="48"/>
      <c r="L79" s="48"/>
      <c r="M79" s="48"/>
      <c r="N79" s="76"/>
    </row>
    <row r="80" spans="1:14" ht="15" customHeight="1">
      <c r="B80" s="41" t="s">
        <v>486</v>
      </c>
      <c r="C80" s="41" t="s">
        <v>207</v>
      </c>
      <c r="D80" s="41" t="s">
        <v>122</v>
      </c>
      <c r="E80" s="59" t="s">
        <v>208</v>
      </c>
      <c r="F80" s="41" t="s">
        <v>44</v>
      </c>
      <c r="G80" s="51">
        <v>11</v>
      </c>
      <c r="H80" s="49">
        <v>500</v>
      </c>
      <c r="I80" s="74">
        <f t="shared" si="5"/>
        <v>5500</v>
      </c>
      <c r="J80" s="41" t="s">
        <v>45</v>
      </c>
      <c r="K80" s="41" t="s">
        <v>492</v>
      </c>
      <c r="L80" s="41" t="s">
        <v>35</v>
      </c>
      <c r="M80" s="41" t="s">
        <v>157</v>
      </c>
      <c r="N80" s="77" t="s">
        <v>157</v>
      </c>
    </row>
    <row r="81" spans="1:14" ht="15" customHeight="1">
      <c r="B81" s="41" t="s">
        <v>486</v>
      </c>
      <c r="C81" s="41" t="s">
        <v>209</v>
      </c>
      <c r="D81" s="41" t="s">
        <v>122</v>
      </c>
      <c r="E81" s="59" t="s">
        <v>210</v>
      </c>
      <c r="F81" s="41" t="s">
        <v>44</v>
      </c>
      <c r="G81" s="51">
        <v>11</v>
      </c>
      <c r="H81" s="49">
        <v>500</v>
      </c>
      <c r="I81" s="74">
        <f t="shared" si="5"/>
        <v>5500</v>
      </c>
      <c r="J81" s="41" t="s">
        <v>45</v>
      </c>
      <c r="K81" s="41" t="s">
        <v>492</v>
      </c>
      <c r="L81" s="41" t="s">
        <v>35</v>
      </c>
      <c r="M81" s="41" t="s">
        <v>157</v>
      </c>
      <c r="N81" s="77" t="s">
        <v>157</v>
      </c>
    </row>
    <row r="82" spans="1:14" ht="15" customHeight="1">
      <c r="B82" s="41" t="s">
        <v>486</v>
      </c>
      <c r="C82" s="41" t="s">
        <v>211</v>
      </c>
      <c r="D82" s="41" t="s">
        <v>122</v>
      </c>
      <c r="E82" s="59" t="s">
        <v>212</v>
      </c>
      <c r="F82" s="41" t="s">
        <v>44</v>
      </c>
      <c r="G82" s="51">
        <v>11</v>
      </c>
      <c r="H82" s="49">
        <v>500</v>
      </c>
      <c r="I82" s="74">
        <f t="shared" si="5"/>
        <v>5500</v>
      </c>
      <c r="J82" s="41" t="s">
        <v>45</v>
      </c>
      <c r="K82" s="41" t="s">
        <v>492</v>
      </c>
      <c r="L82" s="41" t="s">
        <v>35</v>
      </c>
      <c r="M82" s="41" t="s">
        <v>157</v>
      </c>
      <c r="N82" s="77" t="s">
        <v>157</v>
      </c>
    </row>
    <row r="83" spans="1:14" ht="15" customHeight="1">
      <c r="A83" s="46" t="s">
        <v>484</v>
      </c>
      <c r="B83" s="46" t="s">
        <v>486</v>
      </c>
      <c r="C83" s="46">
        <v>4</v>
      </c>
      <c r="D83" s="46" t="s">
        <v>213</v>
      </c>
      <c r="E83" s="60" t="s">
        <v>213</v>
      </c>
      <c r="F83" s="46"/>
      <c r="G83" s="46"/>
      <c r="H83" s="50"/>
      <c r="I83" s="73">
        <f>I84+I96+I108</f>
        <v>242000</v>
      </c>
      <c r="J83" s="47"/>
      <c r="K83" s="47"/>
      <c r="L83" s="47"/>
      <c r="M83" s="47"/>
      <c r="N83" s="76"/>
    </row>
    <row r="84" spans="1:14" ht="15" customHeight="1">
      <c r="A84" s="46"/>
      <c r="B84" s="46"/>
      <c r="C84" s="46" t="s">
        <v>214</v>
      </c>
      <c r="D84" s="46" t="s">
        <v>213</v>
      </c>
      <c r="E84" s="60" t="s">
        <v>215</v>
      </c>
      <c r="F84" s="46"/>
      <c r="G84" s="46"/>
      <c r="H84" s="50"/>
      <c r="I84" s="73">
        <f>I85</f>
        <v>66000</v>
      </c>
      <c r="J84" s="47"/>
      <c r="K84" s="47"/>
      <c r="L84" s="47"/>
      <c r="M84" s="47"/>
      <c r="N84" s="76"/>
    </row>
    <row r="85" spans="1:14" ht="15" customHeight="1">
      <c r="B85" s="41" t="s">
        <v>486</v>
      </c>
      <c r="C85" s="41" t="s">
        <v>216</v>
      </c>
      <c r="D85" s="52" t="s">
        <v>213</v>
      </c>
      <c r="E85" s="61" t="s">
        <v>217</v>
      </c>
      <c r="F85" s="41" t="s">
        <v>44</v>
      </c>
      <c r="G85" s="41">
        <v>11</v>
      </c>
      <c r="H85" s="49">
        <f>18000/3</f>
        <v>6000</v>
      </c>
      <c r="I85" s="74">
        <f>H85*G85</f>
        <v>66000</v>
      </c>
      <c r="J85" s="41" t="s">
        <v>45</v>
      </c>
      <c r="K85" s="41" t="s">
        <v>492</v>
      </c>
      <c r="L85" s="41" t="s">
        <v>35</v>
      </c>
      <c r="M85" s="41" t="s">
        <v>157</v>
      </c>
      <c r="N85" s="77" t="s">
        <v>157</v>
      </c>
    </row>
    <row r="86" spans="1:14" ht="15" customHeight="1">
      <c r="B86" s="41" t="s">
        <v>486</v>
      </c>
      <c r="C86" s="41" t="s">
        <v>218</v>
      </c>
      <c r="D86" s="52" t="s">
        <v>213</v>
      </c>
      <c r="E86" s="61" t="s">
        <v>219</v>
      </c>
      <c r="F86" s="41" t="s">
        <v>44</v>
      </c>
      <c r="J86" s="49"/>
      <c r="K86" s="49"/>
      <c r="L86" s="49"/>
      <c r="M86" s="49"/>
    </row>
    <row r="87" spans="1:14" ht="15" customHeight="1">
      <c r="B87" s="41" t="s">
        <v>486</v>
      </c>
      <c r="C87" s="41" t="s">
        <v>220</v>
      </c>
      <c r="D87" s="52" t="s">
        <v>213</v>
      </c>
      <c r="E87" s="61" t="s">
        <v>221</v>
      </c>
      <c r="F87" s="41" t="s">
        <v>44</v>
      </c>
      <c r="J87" s="49"/>
      <c r="K87" s="49"/>
      <c r="L87" s="49"/>
      <c r="M87" s="49"/>
    </row>
    <row r="88" spans="1:14" ht="15" customHeight="1">
      <c r="B88" s="41" t="s">
        <v>486</v>
      </c>
      <c r="C88" s="41" t="s">
        <v>222</v>
      </c>
      <c r="D88" s="52" t="s">
        <v>213</v>
      </c>
      <c r="E88" s="61" t="s">
        <v>223</v>
      </c>
      <c r="F88" s="41" t="s">
        <v>44</v>
      </c>
      <c r="J88" s="49"/>
      <c r="K88" s="49"/>
      <c r="L88" s="49"/>
      <c r="M88" s="49"/>
    </row>
    <row r="89" spans="1:14" ht="15" customHeight="1">
      <c r="B89" s="41" t="s">
        <v>486</v>
      </c>
      <c r="C89" s="41" t="s">
        <v>224</v>
      </c>
      <c r="D89" s="52" t="s">
        <v>213</v>
      </c>
      <c r="E89" s="61" t="s">
        <v>225</v>
      </c>
      <c r="F89" s="41" t="s">
        <v>44</v>
      </c>
      <c r="J89" s="49"/>
      <c r="K89" s="49"/>
      <c r="L89" s="49"/>
      <c r="M89" s="49"/>
    </row>
    <row r="90" spans="1:14" ht="15" customHeight="1">
      <c r="B90" s="41" t="s">
        <v>486</v>
      </c>
      <c r="C90" s="41" t="s">
        <v>226</v>
      </c>
      <c r="D90" s="52" t="s">
        <v>213</v>
      </c>
      <c r="E90" s="61" t="s">
        <v>227</v>
      </c>
      <c r="F90" s="41" t="s">
        <v>44</v>
      </c>
      <c r="J90" s="49"/>
      <c r="K90" s="49"/>
      <c r="L90" s="49"/>
      <c r="M90" s="49"/>
    </row>
    <row r="91" spans="1:14" ht="15" customHeight="1">
      <c r="B91" s="41" t="s">
        <v>486</v>
      </c>
      <c r="C91" s="41" t="s">
        <v>228</v>
      </c>
      <c r="D91" s="52" t="s">
        <v>213</v>
      </c>
      <c r="E91" s="61" t="s">
        <v>229</v>
      </c>
      <c r="F91" s="41" t="s">
        <v>44</v>
      </c>
      <c r="J91" s="49"/>
      <c r="K91" s="49"/>
      <c r="L91" s="49"/>
      <c r="M91" s="49"/>
    </row>
    <row r="92" spans="1:14" ht="15" customHeight="1">
      <c r="B92" s="41" t="s">
        <v>486</v>
      </c>
      <c r="C92" s="41" t="s">
        <v>230</v>
      </c>
      <c r="D92" s="52" t="s">
        <v>213</v>
      </c>
      <c r="E92" s="61" t="s">
        <v>231</v>
      </c>
      <c r="F92" s="41" t="s">
        <v>44</v>
      </c>
      <c r="J92" s="49"/>
      <c r="K92" s="49"/>
      <c r="L92" s="49"/>
      <c r="M92" s="49"/>
    </row>
    <row r="93" spans="1:14" ht="15" customHeight="1">
      <c r="B93" s="41" t="s">
        <v>486</v>
      </c>
      <c r="C93" s="41" t="s">
        <v>232</v>
      </c>
      <c r="D93" s="52" t="s">
        <v>213</v>
      </c>
      <c r="E93" s="61" t="s">
        <v>233</v>
      </c>
      <c r="F93" s="41" t="s">
        <v>44</v>
      </c>
      <c r="J93" s="49"/>
      <c r="K93" s="49"/>
      <c r="L93" s="49"/>
      <c r="M93" s="49"/>
    </row>
    <row r="94" spans="1:14" ht="15" customHeight="1">
      <c r="B94" s="41" t="s">
        <v>486</v>
      </c>
      <c r="C94" s="41" t="s">
        <v>234</v>
      </c>
      <c r="D94" s="52" t="s">
        <v>213</v>
      </c>
      <c r="E94" s="61" t="s">
        <v>235</v>
      </c>
      <c r="F94" s="41" t="s">
        <v>44</v>
      </c>
      <c r="J94" s="49"/>
      <c r="K94" s="49"/>
      <c r="L94" s="49"/>
      <c r="M94" s="49"/>
    </row>
    <row r="95" spans="1:14" ht="15" customHeight="1">
      <c r="B95" s="41" t="s">
        <v>486</v>
      </c>
      <c r="C95" s="41" t="s">
        <v>236</v>
      </c>
      <c r="D95" s="52" t="s">
        <v>213</v>
      </c>
      <c r="E95" s="61" t="s">
        <v>237</v>
      </c>
      <c r="F95" s="41" t="s">
        <v>44</v>
      </c>
      <c r="J95" s="49"/>
      <c r="K95" s="49"/>
      <c r="L95" s="49"/>
      <c r="M95" s="49"/>
    </row>
    <row r="96" spans="1:14" ht="15" customHeight="1">
      <c r="A96" s="46"/>
      <c r="B96" s="46"/>
      <c r="C96" s="46" t="s">
        <v>238</v>
      </c>
      <c r="D96" s="46" t="s">
        <v>213</v>
      </c>
      <c r="E96" s="60" t="s">
        <v>239</v>
      </c>
      <c r="F96" s="46"/>
      <c r="G96" s="46"/>
      <c r="H96" s="50"/>
      <c r="I96" s="73">
        <f>I97</f>
        <v>110000</v>
      </c>
      <c r="J96" s="47"/>
      <c r="K96" s="47"/>
      <c r="L96" s="47"/>
      <c r="M96" s="47"/>
      <c r="N96" s="76"/>
    </row>
    <row r="97" spans="1:14" ht="15" customHeight="1">
      <c r="B97" s="41" t="s">
        <v>486</v>
      </c>
      <c r="C97" s="41" t="s">
        <v>240</v>
      </c>
      <c r="D97" s="52" t="s">
        <v>213</v>
      </c>
      <c r="E97" s="61" t="s">
        <v>241</v>
      </c>
      <c r="F97" s="41" t="s">
        <v>44</v>
      </c>
      <c r="G97" s="41">
        <v>11</v>
      </c>
      <c r="H97" s="49">
        <v>10000</v>
      </c>
      <c r="I97" s="74">
        <f>H97*G97</f>
        <v>110000</v>
      </c>
      <c r="J97" s="41" t="s">
        <v>45</v>
      </c>
      <c r="K97" s="41" t="s">
        <v>492</v>
      </c>
      <c r="L97" s="41" t="s">
        <v>35</v>
      </c>
      <c r="M97" s="41" t="s">
        <v>157</v>
      </c>
      <c r="N97" s="77" t="s">
        <v>157</v>
      </c>
    </row>
    <row r="98" spans="1:14" ht="15" customHeight="1">
      <c r="B98" s="41" t="s">
        <v>486</v>
      </c>
      <c r="C98" s="41" t="s">
        <v>242</v>
      </c>
      <c r="D98" s="52" t="s">
        <v>213</v>
      </c>
      <c r="E98" s="61" t="s">
        <v>243</v>
      </c>
      <c r="F98" s="41" t="s">
        <v>44</v>
      </c>
      <c r="J98" s="49"/>
      <c r="K98" s="49"/>
      <c r="L98" s="49"/>
      <c r="M98" s="49"/>
    </row>
    <row r="99" spans="1:14" ht="15" customHeight="1">
      <c r="B99" s="41" t="s">
        <v>486</v>
      </c>
      <c r="C99" s="41" t="s">
        <v>244</v>
      </c>
      <c r="D99" s="52" t="s">
        <v>213</v>
      </c>
      <c r="E99" s="61" t="s">
        <v>245</v>
      </c>
      <c r="F99" s="41" t="s">
        <v>44</v>
      </c>
      <c r="J99" s="49"/>
      <c r="K99" s="49"/>
      <c r="L99" s="49"/>
      <c r="M99" s="49"/>
    </row>
    <row r="100" spans="1:14" ht="15" customHeight="1">
      <c r="B100" s="41" t="s">
        <v>486</v>
      </c>
      <c r="C100" s="41" t="s">
        <v>246</v>
      </c>
      <c r="D100" s="52" t="s">
        <v>213</v>
      </c>
      <c r="E100" s="61" t="s">
        <v>247</v>
      </c>
      <c r="F100" s="41" t="s">
        <v>44</v>
      </c>
      <c r="J100" s="49"/>
      <c r="K100" s="49"/>
      <c r="L100" s="49"/>
      <c r="M100" s="49"/>
    </row>
    <row r="101" spans="1:14" ht="15" customHeight="1">
      <c r="B101" s="41" t="s">
        <v>486</v>
      </c>
      <c r="C101" s="41" t="s">
        <v>248</v>
      </c>
      <c r="D101" s="52" t="s">
        <v>213</v>
      </c>
      <c r="E101" s="61" t="s">
        <v>249</v>
      </c>
      <c r="F101" s="41" t="s">
        <v>44</v>
      </c>
      <c r="J101" s="49"/>
      <c r="K101" s="49"/>
      <c r="L101" s="49"/>
      <c r="M101" s="49"/>
    </row>
    <row r="102" spans="1:14" ht="15" customHeight="1">
      <c r="B102" s="41" t="s">
        <v>486</v>
      </c>
      <c r="C102" s="41" t="s">
        <v>250</v>
      </c>
      <c r="D102" s="52" t="s">
        <v>213</v>
      </c>
      <c r="E102" s="61" t="s">
        <v>251</v>
      </c>
      <c r="F102" s="41" t="s">
        <v>44</v>
      </c>
      <c r="J102" s="49"/>
      <c r="K102" s="49"/>
      <c r="L102" s="49"/>
      <c r="M102" s="49"/>
    </row>
    <row r="103" spans="1:14" ht="15" customHeight="1">
      <c r="B103" s="41" t="s">
        <v>486</v>
      </c>
      <c r="C103" s="41" t="s">
        <v>252</v>
      </c>
      <c r="D103" s="52" t="s">
        <v>213</v>
      </c>
      <c r="E103" s="61" t="s">
        <v>253</v>
      </c>
      <c r="F103" s="41" t="s">
        <v>44</v>
      </c>
      <c r="J103" s="49"/>
      <c r="K103" s="49"/>
      <c r="L103" s="49"/>
      <c r="M103" s="49"/>
    </row>
    <row r="104" spans="1:14" ht="15" customHeight="1">
      <c r="B104" s="41" t="s">
        <v>486</v>
      </c>
      <c r="C104" s="41" t="s">
        <v>254</v>
      </c>
      <c r="D104" s="52" t="s">
        <v>213</v>
      </c>
      <c r="E104" s="61" t="s">
        <v>255</v>
      </c>
      <c r="F104" s="41" t="s">
        <v>44</v>
      </c>
      <c r="J104" s="49"/>
      <c r="K104" s="49"/>
      <c r="L104" s="49"/>
      <c r="M104" s="49"/>
    </row>
    <row r="105" spans="1:14" ht="15" customHeight="1">
      <c r="B105" s="41" t="s">
        <v>486</v>
      </c>
      <c r="C105" s="41" t="s">
        <v>256</v>
      </c>
      <c r="D105" s="52" t="s">
        <v>213</v>
      </c>
      <c r="E105" s="61" t="s">
        <v>257</v>
      </c>
      <c r="F105" s="41" t="s">
        <v>44</v>
      </c>
      <c r="J105" s="49"/>
      <c r="K105" s="49"/>
      <c r="L105" s="49"/>
      <c r="M105" s="49"/>
    </row>
    <row r="106" spans="1:14" ht="15" customHeight="1">
      <c r="B106" s="41" t="s">
        <v>486</v>
      </c>
      <c r="C106" s="41" t="s">
        <v>258</v>
      </c>
      <c r="D106" s="52" t="s">
        <v>213</v>
      </c>
      <c r="E106" s="61" t="s">
        <v>259</v>
      </c>
      <c r="F106" s="41" t="s">
        <v>127</v>
      </c>
      <c r="J106" s="49"/>
      <c r="K106" s="49"/>
      <c r="L106" s="49"/>
      <c r="M106" s="49"/>
    </row>
    <row r="107" spans="1:14" ht="15" customHeight="1">
      <c r="B107" s="41" t="s">
        <v>486</v>
      </c>
      <c r="C107" s="41" t="s">
        <v>260</v>
      </c>
      <c r="D107" s="52" t="s">
        <v>213</v>
      </c>
      <c r="E107" s="61" t="s">
        <v>261</v>
      </c>
      <c r="F107" s="41" t="s">
        <v>127</v>
      </c>
      <c r="J107" s="49"/>
      <c r="K107" s="49"/>
      <c r="L107" s="49"/>
      <c r="M107" s="49"/>
    </row>
    <row r="108" spans="1:14" ht="15" customHeight="1">
      <c r="A108" s="46"/>
      <c r="B108" s="46"/>
      <c r="C108" s="46" t="s">
        <v>262</v>
      </c>
      <c r="D108" s="46" t="s">
        <v>213</v>
      </c>
      <c r="E108" s="60" t="s">
        <v>263</v>
      </c>
      <c r="F108" s="46"/>
      <c r="G108" s="46"/>
      <c r="H108" s="50"/>
      <c r="I108" s="73">
        <f>I109</f>
        <v>66000</v>
      </c>
      <c r="J108" s="47"/>
      <c r="K108" s="47"/>
      <c r="L108" s="47"/>
      <c r="M108" s="47"/>
      <c r="N108" s="76"/>
    </row>
    <row r="109" spans="1:14" ht="15" customHeight="1">
      <c r="B109" s="41" t="s">
        <v>486</v>
      </c>
      <c r="C109" s="41" t="s">
        <v>264</v>
      </c>
      <c r="D109" s="41" t="s">
        <v>213</v>
      </c>
      <c r="E109" s="59" t="s">
        <v>265</v>
      </c>
      <c r="F109" s="41" t="s">
        <v>44</v>
      </c>
      <c r="G109" s="41">
        <v>11</v>
      </c>
      <c r="H109" s="49">
        <v>6000</v>
      </c>
      <c r="I109" s="74">
        <f>H109*G109</f>
        <v>66000</v>
      </c>
      <c r="J109" s="41" t="s">
        <v>45</v>
      </c>
      <c r="K109" s="41" t="s">
        <v>492</v>
      </c>
      <c r="L109" s="41" t="s">
        <v>35</v>
      </c>
      <c r="M109" s="41" t="s">
        <v>157</v>
      </c>
      <c r="N109" s="77" t="s">
        <v>157</v>
      </c>
    </row>
    <row r="110" spans="1:14" ht="15" customHeight="1">
      <c r="B110" s="41" t="s">
        <v>486</v>
      </c>
      <c r="C110" s="41" t="s">
        <v>266</v>
      </c>
      <c r="D110" s="41" t="s">
        <v>213</v>
      </c>
      <c r="E110" s="59" t="s">
        <v>267</v>
      </c>
      <c r="F110" s="41" t="s">
        <v>44</v>
      </c>
      <c r="J110" s="49"/>
      <c r="K110" s="49"/>
      <c r="L110" s="49"/>
      <c r="M110" s="49"/>
    </row>
    <row r="111" spans="1:14" ht="15" customHeight="1">
      <c r="B111" s="41" t="s">
        <v>486</v>
      </c>
      <c r="C111" s="41" t="s">
        <v>268</v>
      </c>
      <c r="D111" s="41" t="s">
        <v>213</v>
      </c>
      <c r="E111" s="59" t="s">
        <v>269</v>
      </c>
      <c r="F111" s="41" t="s">
        <v>44</v>
      </c>
      <c r="J111" s="49"/>
      <c r="K111" s="49"/>
      <c r="L111" s="49"/>
      <c r="M111" s="49"/>
    </row>
    <row r="112" spans="1:14" ht="15" customHeight="1">
      <c r="B112" s="41" t="s">
        <v>486</v>
      </c>
      <c r="C112" s="41" t="s">
        <v>270</v>
      </c>
      <c r="D112" s="41" t="s">
        <v>213</v>
      </c>
      <c r="E112" s="59" t="s">
        <v>271</v>
      </c>
      <c r="F112" s="41" t="s">
        <v>44</v>
      </c>
      <c r="J112" s="49"/>
      <c r="K112" s="49"/>
      <c r="L112" s="49"/>
      <c r="M112" s="49"/>
    </row>
    <row r="113" spans="1:14" ht="15" customHeight="1">
      <c r="B113" s="41" t="s">
        <v>486</v>
      </c>
      <c r="C113" s="41" t="s">
        <v>272</v>
      </c>
      <c r="D113" s="41" t="s">
        <v>213</v>
      </c>
      <c r="E113" s="59" t="s">
        <v>273</v>
      </c>
      <c r="F113" s="41" t="s">
        <v>44</v>
      </c>
      <c r="J113" s="49"/>
      <c r="K113" s="49"/>
      <c r="L113" s="49"/>
      <c r="M113" s="49"/>
    </row>
    <row r="114" spans="1:14" ht="15" customHeight="1">
      <c r="B114" s="41" t="s">
        <v>486</v>
      </c>
      <c r="C114" s="41" t="s">
        <v>274</v>
      </c>
      <c r="D114" s="41" t="s">
        <v>213</v>
      </c>
      <c r="E114" s="59" t="s">
        <v>275</v>
      </c>
      <c r="F114" s="41" t="s">
        <v>44</v>
      </c>
      <c r="J114" s="49"/>
      <c r="K114" s="49"/>
      <c r="L114" s="49"/>
      <c r="M114" s="49"/>
    </row>
    <row r="115" spans="1:14" ht="15" customHeight="1">
      <c r="B115" s="41" t="s">
        <v>486</v>
      </c>
      <c r="C115" s="41" t="s">
        <v>276</v>
      </c>
      <c r="D115" s="41" t="s">
        <v>213</v>
      </c>
      <c r="E115" s="59" t="s">
        <v>277</v>
      </c>
      <c r="F115" s="41" t="s">
        <v>44</v>
      </c>
      <c r="J115" s="49"/>
      <c r="K115" s="49"/>
      <c r="L115" s="49"/>
      <c r="M115" s="49"/>
    </row>
    <row r="116" spans="1:14" ht="15" customHeight="1">
      <c r="B116" s="41" t="s">
        <v>486</v>
      </c>
      <c r="C116" s="41" t="s">
        <v>278</v>
      </c>
      <c r="D116" s="41" t="s">
        <v>213</v>
      </c>
      <c r="E116" s="59" t="s">
        <v>279</v>
      </c>
      <c r="F116" s="41" t="s">
        <v>44</v>
      </c>
      <c r="J116" s="49"/>
      <c r="K116" s="49"/>
      <c r="L116" s="49"/>
      <c r="M116" s="49"/>
    </row>
    <row r="117" spans="1:14" ht="15" customHeight="1">
      <c r="B117" s="41" t="s">
        <v>486</v>
      </c>
      <c r="C117" s="41" t="s">
        <v>280</v>
      </c>
      <c r="D117" s="41" t="s">
        <v>213</v>
      </c>
      <c r="E117" s="59" t="s">
        <v>281</v>
      </c>
      <c r="F117" s="41" t="s">
        <v>44</v>
      </c>
      <c r="J117" s="49"/>
      <c r="K117" s="49"/>
      <c r="L117" s="49"/>
      <c r="M117" s="49"/>
    </row>
    <row r="118" spans="1:14" ht="15" customHeight="1">
      <c r="B118" s="41" t="s">
        <v>486</v>
      </c>
      <c r="C118" s="41" t="s">
        <v>282</v>
      </c>
      <c r="D118" s="41" t="s">
        <v>213</v>
      </c>
      <c r="E118" s="59" t="s">
        <v>283</v>
      </c>
      <c r="F118" s="41" t="s">
        <v>44</v>
      </c>
      <c r="J118" s="49"/>
      <c r="K118" s="49"/>
      <c r="L118" s="49"/>
      <c r="M118" s="49"/>
    </row>
    <row r="119" spans="1:14" ht="15" customHeight="1">
      <c r="B119" s="41" t="s">
        <v>486</v>
      </c>
      <c r="C119" s="41" t="s">
        <v>284</v>
      </c>
      <c r="D119" s="41" t="s">
        <v>213</v>
      </c>
      <c r="E119" s="59" t="s">
        <v>285</v>
      </c>
      <c r="F119" s="41" t="s">
        <v>127</v>
      </c>
      <c r="J119" s="49"/>
      <c r="K119" s="49"/>
      <c r="L119" s="49"/>
      <c r="M119" s="49"/>
    </row>
    <row r="120" spans="1:14" ht="15" customHeight="1">
      <c r="A120" s="46" t="s">
        <v>484</v>
      </c>
      <c r="B120" s="46" t="s">
        <v>488</v>
      </c>
      <c r="C120" s="46">
        <v>5</v>
      </c>
      <c r="D120" s="46" t="s">
        <v>286</v>
      </c>
      <c r="E120" s="60" t="s">
        <v>286</v>
      </c>
      <c r="F120" s="46"/>
      <c r="G120" s="46"/>
      <c r="H120" s="50"/>
      <c r="I120" s="73">
        <f>I121+I132+I136</f>
        <v>16400</v>
      </c>
      <c r="J120" s="48"/>
      <c r="K120" s="48"/>
      <c r="L120" s="48"/>
      <c r="M120" s="48"/>
      <c r="N120" s="76"/>
    </row>
    <row r="121" spans="1:14" ht="15" customHeight="1">
      <c r="A121" s="46"/>
      <c r="B121" s="46"/>
      <c r="C121" s="46" t="s">
        <v>287</v>
      </c>
      <c r="D121" s="46" t="s">
        <v>286</v>
      </c>
      <c r="E121" s="60" t="s">
        <v>288</v>
      </c>
      <c r="F121" s="46"/>
      <c r="G121" s="46"/>
      <c r="H121" s="50"/>
      <c r="I121" s="73">
        <f>SUM(I122:I131)</f>
        <v>15000</v>
      </c>
      <c r="J121" s="48"/>
      <c r="K121" s="48"/>
      <c r="L121" s="48"/>
      <c r="M121" s="48"/>
      <c r="N121" s="76"/>
    </row>
    <row r="122" spans="1:14" ht="15" customHeight="1">
      <c r="B122" s="41" t="s">
        <v>488</v>
      </c>
      <c r="C122" s="41" t="s">
        <v>289</v>
      </c>
      <c r="D122" s="41" t="s">
        <v>286</v>
      </c>
      <c r="E122" s="59" t="s">
        <v>290</v>
      </c>
      <c r="F122" s="41" t="s">
        <v>127</v>
      </c>
      <c r="G122" s="41">
        <v>1</v>
      </c>
      <c r="H122" s="49">
        <v>1500</v>
      </c>
      <c r="I122" s="74">
        <f t="shared" ref="I122:I131" si="6">H122*G122</f>
        <v>1500</v>
      </c>
      <c r="J122" s="49" t="s">
        <v>55</v>
      </c>
      <c r="K122" s="49" t="s">
        <v>56</v>
      </c>
      <c r="L122" s="49" t="s">
        <v>128</v>
      </c>
      <c r="M122" s="49" t="s">
        <v>291</v>
      </c>
      <c r="N122" s="77">
        <f>VLOOKUP(M122,'Aux2'!$B$2:$C$21,2,0)</f>
        <v>44408</v>
      </c>
    </row>
    <row r="123" spans="1:14" ht="15" customHeight="1">
      <c r="B123" s="41" t="s">
        <v>488</v>
      </c>
      <c r="C123" s="41" t="s">
        <v>292</v>
      </c>
      <c r="D123" s="41" t="s">
        <v>286</v>
      </c>
      <c r="E123" s="59" t="s">
        <v>293</v>
      </c>
      <c r="F123" s="41" t="s">
        <v>127</v>
      </c>
      <c r="G123" s="41">
        <v>1</v>
      </c>
      <c r="H123" s="49">
        <v>1500</v>
      </c>
      <c r="I123" s="74">
        <f t="shared" si="6"/>
        <v>1500</v>
      </c>
      <c r="J123" s="49" t="s">
        <v>55</v>
      </c>
      <c r="K123" s="49" t="s">
        <v>56</v>
      </c>
      <c r="L123" s="49" t="s">
        <v>128</v>
      </c>
      <c r="M123" s="49" t="s">
        <v>291</v>
      </c>
      <c r="N123" s="77">
        <f>VLOOKUP(M123,'Aux2'!$B$2:$C$21,2,0)</f>
        <v>44408</v>
      </c>
    </row>
    <row r="124" spans="1:14" ht="15" customHeight="1">
      <c r="B124" s="41" t="s">
        <v>488</v>
      </c>
      <c r="C124" s="41" t="s">
        <v>294</v>
      </c>
      <c r="D124" s="41" t="s">
        <v>286</v>
      </c>
      <c r="E124" s="59" t="s">
        <v>295</v>
      </c>
      <c r="F124" s="41" t="s">
        <v>127</v>
      </c>
      <c r="G124" s="41">
        <v>1</v>
      </c>
      <c r="H124" s="49">
        <v>1500</v>
      </c>
      <c r="I124" s="74">
        <f t="shared" si="6"/>
        <v>1500</v>
      </c>
      <c r="J124" s="49" t="s">
        <v>55</v>
      </c>
      <c r="K124" s="49" t="s">
        <v>56</v>
      </c>
      <c r="L124" s="49" t="s">
        <v>128</v>
      </c>
      <c r="M124" s="49" t="s">
        <v>291</v>
      </c>
      <c r="N124" s="77">
        <f>VLOOKUP(M124,'Aux2'!$B$2:$C$21,2,0)</f>
        <v>44408</v>
      </c>
    </row>
    <row r="125" spans="1:14" ht="15" customHeight="1">
      <c r="B125" s="41" t="s">
        <v>488</v>
      </c>
      <c r="C125" s="41" t="s">
        <v>296</v>
      </c>
      <c r="D125" s="41" t="s">
        <v>286</v>
      </c>
      <c r="E125" s="59" t="s">
        <v>297</v>
      </c>
      <c r="F125" s="41" t="s">
        <v>127</v>
      </c>
      <c r="G125" s="41">
        <v>1</v>
      </c>
      <c r="H125" s="49">
        <v>1500</v>
      </c>
      <c r="I125" s="74">
        <f t="shared" si="6"/>
        <v>1500</v>
      </c>
      <c r="J125" s="49" t="s">
        <v>55</v>
      </c>
      <c r="K125" s="49" t="s">
        <v>56</v>
      </c>
      <c r="L125" s="49" t="s">
        <v>128</v>
      </c>
      <c r="M125" s="49" t="s">
        <v>291</v>
      </c>
      <c r="N125" s="77">
        <f>VLOOKUP(M125,'Aux2'!$B$2:$C$21,2,0)</f>
        <v>44408</v>
      </c>
    </row>
    <row r="126" spans="1:14" ht="15" customHeight="1">
      <c r="B126" s="41" t="s">
        <v>488</v>
      </c>
      <c r="C126" s="41" t="s">
        <v>298</v>
      </c>
      <c r="D126" s="41" t="s">
        <v>286</v>
      </c>
      <c r="E126" s="59" t="s">
        <v>299</v>
      </c>
      <c r="F126" s="41" t="s">
        <v>127</v>
      </c>
      <c r="G126" s="41">
        <v>1</v>
      </c>
      <c r="H126" s="49">
        <v>1500</v>
      </c>
      <c r="I126" s="74">
        <f t="shared" si="6"/>
        <v>1500</v>
      </c>
      <c r="J126" s="49" t="s">
        <v>55</v>
      </c>
      <c r="K126" s="49" t="s">
        <v>56</v>
      </c>
      <c r="L126" s="49" t="s">
        <v>128</v>
      </c>
      <c r="M126" s="49" t="s">
        <v>291</v>
      </c>
      <c r="N126" s="77">
        <f>VLOOKUP(M126,'Aux2'!$B$2:$C$21,2,0)</f>
        <v>44408</v>
      </c>
    </row>
    <row r="127" spans="1:14" ht="15" customHeight="1">
      <c r="B127" s="41" t="s">
        <v>488</v>
      </c>
      <c r="C127" s="41" t="s">
        <v>300</v>
      </c>
      <c r="D127" s="41" t="s">
        <v>286</v>
      </c>
      <c r="E127" s="59" t="s">
        <v>301</v>
      </c>
      <c r="F127" s="41" t="s">
        <v>127</v>
      </c>
      <c r="G127" s="41">
        <v>1</v>
      </c>
      <c r="H127" s="49">
        <v>1500</v>
      </c>
      <c r="I127" s="74">
        <f t="shared" si="6"/>
        <v>1500</v>
      </c>
      <c r="J127" s="49" t="s">
        <v>55</v>
      </c>
      <c r="K127" s="49" t="s">
        <v>56</v>
      </c>
      <c r="L127" s="49" t="s">
        <v>128</v>
      </c>
      <c r="M127" s="49" t="s">
        <v>291</v>
      </c>
      <c r="N127" s="77">
        <f>VLOOKUP(M127,'Aux2'!$B$2:$C$21,2,0)</f>
        <v>44408</v>
      </c>
    </row>
    <row r="128" spans="1:14" ht="15" customHeight="1">
      <c r="B128" s="41" t="s">
        <v>488</v>
      </c>
      <c r="C128" s="41" t="s">
        <v>302</v>
      </c>
      <c r="D128" s="41" t="s">
        <v>286</v>
      </c>
      <c r="E128" s="59" t="s">
        <v>303</v>
      </c>
      <c r="F128" s="41" t="s">
        <v>127</v>
      </c>
      <c r="G128" s="41">
        <v>1</v>
      </c>
      <c r="H128" s="49">
        <v>1500</v>
      </c>
      <c r="I128" s="74">
        <f t="shared" si="6"/>
        <v>1500</v>
      </c>
      <c r="J128" s="49" t="s">
        <v>55</v>
      </c>
      <c r="K128" s="49" t="s">
        <v>56</v>
      </c>
      <c r="L128" s="49" t="s">
        <v>128</v>
      </c>
      <c r="M128" s="49" t="s">
        <v>291</v>
      </c>
      <c r="N128" s="77">
        <f>VLOOKUP(M128,'Aux2'!$B$2:$C$21,2,0)</f>
        <v>44408</v>
      </c>
    </row>
    <row r="129" spans="1:14" ht="15" customHeight="1">
      <c r="B129" s="41" t="s">
        <v>488</v>
      </c>
      <c r="C129" s="41" t="s">
        <v>304</v>
      </c>
      <c r="D129" s="41" t="s">
        <v>286</v>
      </c>
      <c r="E129" s="59" t="s">
        <v>305</v>
      </c>
      <c r="F129" s="41" t="s">
        <v>127</v>
      </c>
      <c r="G129" s="41">
        <v>1</v>
      </c>
      <c r="H129" s="49">
        <v>1500</v>
      </c>
      <c r="I129" s="74">
        <f t="shared" si="6"/>
        <v>1500</v>
      </c>
      <c r="J129" s="49" t="s">
        <v>55</v>
      </c>
      <c r="K129" s="49" t="s">
        <v>56</v>
      </c>
      <c r="L129" s="49" t="s">
        <v>128</v>
      </c>
      <c r="M129" s="49" t="s">
        <v>291</v>
      </c>
      <c r="N129" s="77">
        <f>VLOOKUP(M129,'Aux2'!$B$2:$C$21,2,0)</f>
        <v>44408</v>
      </c>
    </row>
    <row r="130" spans="1:14" ht="15" customHeight="1">
      <c r="B130" s="41" t="s">
        <v>488</v>
      </c>
      <c r="C130" s="41" t="s">
        <v>306</v>
      </c>
      <c r="D130" s="41" t="s">
        <v>286</v>
      </c>
      <c r="E130" s="59" t="s">
        <v>307</v>
      </c>
      <c r="F130" s="41" t="s">
        <v>127</v>
      </c>
      <c r="G130" s="41">
        <v>1</v>
      </c>
      <c r="H130" s="49">
        <v>1500</v>
      </c>
      <c r="I130" s="74">
        <f t="shared" si="6"/>
        <v>1500</v>
      </c>
      <c r="J130" s="49" t="s">
        <v>55</v>
      </c>
      <c r="K130" s="49" t="s">
        <v>56</v>
      </c>
      <c r="L130" s="49" t="s">
        <v>128</v>
      </c>
      <c r="M130" s="49" t="s">
        <v>291</v>
      </c>
      <c r="N130" s="77">
        <f>VLOOKUP(M130,'Aux2'!$B$2:$C$21,2,0)</f>
        <v>44408</v>
      </c>
    </row>
    <row r="131" spans="1:14" ht="15" customHeight="1">
      <c r="B131" s="41" t="s">
        <v>488</v>
      </c>
      <c r="C131" s="41" t="s">
        <v>308</v>
      </c>
      <c r="D131" s="41" t="s">
        <v>286</v>
      </c>
      <c r="E131" s="59" t="s">
        <v>309</v>
      </c>
      <c r="F131" s="41" t="s">
        <v>127</v>
      </c>
      <c r="G131" s="41">
        <v>1</v>
      </c>
      <c r="H131" s="49">
        <v>1500</v>
      </c>
      <c r="I131" s="74">
        <f t="shared" si="6"/>
        <v>1500</v>
      </c>
      <c r="J131" s="49" t="s">
        <v>55</v>
      </c>
      <c r="K131" s="49" t="s">
        <v>56</v>
      </c>
      <c r="L131" s="49" t="s">
        <v>128</v>
      </c>
      <c r="M131" s="49" t="s">
        <v>291</v>
      </c>
      <c r="N131" s="77">
        <f>VLOOKUP(M131,'Aux2'!$B$2:$C$21,2,0)</f>
        <v>44408</v>
      </c>
    </row>
    <row r="132" spans="1:14" ht="15" customHeight="1">
      <c r="A132" s="46"/>
      <c r="B132" s="46"/>
      <c r="C132" s="46" t="s">
        <v>310</v>
      </c>
      <c r="D132" s="46" t="s">
        <v>286</v>
      </c>
      <c r="E132" s="60" t="s">
        <v>311</v>
      </c>
      <c r="F132" s="46"/>
      <c r="G132" s="46"/>
      <c r="H132" s="50"/>
      <c r="I132" s="73">
        <f>SUM(I133:I135)</f>
        <v>600</v>
      </c>
      <c r="J132" s="48"/>
      <c r="K132" s="48"/>
      <c r="L132" s="48"/>
      <c r="M132" s="48"/>
      <c r="N132" s="76"/>
    </row>
    <row r="133" spans="1:14" ht="15" customHeight="1">
      <c r="B133" s="41" t="s">
        <v>488</v>
      </c>
      <c r="C133" s="41" t="s">
        <v>312</v>
      </c>
      <c r="D133" s="41" t="s">
        <v>286</v>
      </c>
      <c r="E133" s="59" t="s">
        <v>313</v>
      </c>
      <c r="F133" s="41" t="s">
        <v>127</v>
      </c>
      <c r="G133" s="41">
        <v>1</v>
      </c>
      <c r="H133" s="49">
        <v>200</v>
      </c>
      <c r="I133" s="74">
        <f>H133*G133</f>
        <v>200</v>
      </c>
      <c r="J133" s="49" t="s">
        <v>55</v>
      </c>
      <c r="K133" s="49" t="s">
        <v>56</v>
      </c>
      <c r="L133" s="49" t="s">
        <v>128</v>
      </c>
      <c r="M133" s="49" t="s">
        <v>291</v>
      </c>
      <c r="N133" s="77">
        <f>VLOOKUP(M133,'Aux2'!$B$2:$C$21,2,0)</f>
        <v>44408</v>
      </c>
    </row>
    <row r="134" spans="1:14" ht="15" customHeight="1">
      <c r="B134" s="41" t="s">
        <v>488</v>
      </c>
      <c r="C134" s="41" t="s">
        <v>314</v>
      </c>
      <c r="D134" s="41" t="s">
        <v>286</v>
      </c>
      <c r="E134" s="59" t="s">
        <v>315</v>
      </c>
      <c r="F134" s="41" t="s">
        <v>127</v>
      </c>
      <c r="G134" s="41">
        <v>1</v>
      </c>
      <c r="H134" s="49">
        <v>200</v>
      </c>
      <c r="I134" s="74">
        <f>H134*G134</f>
        <v>200</v>
      </c>
      <c r="J134" s="49" t="s">
        <v>55</v>
      </c>
      <c r="K134" s="49" t="s">
        <v>56</v>
      </c>
      <c r="L134" s="49" t="s">
        <v>128</v>
      </c>
      <c r="M134" s="49" t="s">
        <v>291</v>
      </c>
      <c r="N134" s="77">
        <f>VLOOKUP(M134,'Aux2'!$B$2:$C$21,2,0)</f>
        <v>44408</v>
      </c>
    </row>
    <row r="135" spans="1:14" ht="15" customHeight="1">
      <c r="B135" s="41" t="s">
        <v>488</v>
      </c>
      <c r="C135" s="41" t="s">
        <v>316</v>
      </c>
      <c r="D135" s="41" t="s">
        <v>286</v>
      </c>
      <c r="E135" s="59" t="s">
        <v>317</v>
      </c>
      <c r="F135" s="41" t="s">
        <v>127</v>
      </c>
      <c r="G135" s="41">
        <v>1</v>
      </c>
      <c r="H135" s="49">
        <v>200</v>
      </c>
      <c r="I135" s="74">
        <f>H135*G135</f>
        <v>200</v>
      </c>
      <c r="J135" s="49" t="s">
        <v>55</v>
      </c>
      <c r="K135" s="49" t="s">
        <v>56</v>
      </c>
      <c r="L135" s="49" t="s">
        <v>128</v>
      </c>
      <c r="M135" s="49" t="s">
        <v>291</v>
      </c>
      <c r="N135" s="77">
        <f>VLOOKUP(M135,'Aux2'!$B$2:$C$21,2,0)</f>
        <v>44408</v>
      </c>
    </row>
    <row r="136" spans="1:14" ht="15" customHeight="1">
      <c r="A136" s="46"/>
      <c r="B136" s="46"/>
      <c r="C136" s="46" t="s">
        <v>318</v>
      </c>
      <c r="D136" s="46" t="s">
        <v>286</v>
      </c>
      <c r="E136" s="60" t="s">
        <v>319</v>
      </c>
      <c r="F136" s="46"/>
      <c r="G136" s="46"/>
      <c r="H136" s="50"/>
      <c r="I136" s="73">
        <f>SUM(I137:I140)</f>
        <v>800</v>
      </c>
      <c r="J136" s="48"/>
      <c r="K136" s="48"/>
      <c r="L136" s="48"/>
      <c r="M136" s="48"/>
      <c r="N136" s="76"/>
    </row>
    <row r="137" spans="1:14" ht="15" customHeight="1">
      <c r="B137" s="41" t="s">
        <v>488</v>
      </c>
      <c r="C137" s="41" t="s">
        <v>320</v>
      </c>
      <c r="D137" s="41" t="s">
        <v>286</v>
      </c>
      <c r="E137" s="59" t="s">
        <v>321</v>
      </c>
      <c r="F137" s="41" t="s">
        <v>127</v>
      </c>
      <c r="G137" s="41">
        <v>1</v>
      </c>
      <c r="H137" s="49">
        <v>200</v>
      </c>
      <c r="I137" s="74">
        <f>H137*G137</f>
        <v>200</v>
      </c>
      <c r="J137" s="49" t="s">
        <v>55</v>
      </c>
      <c r="K137" s="49" t="s">
        <v>56</v>
      </c>
      <c r="L137" s="49" t="s">
        <v>128</v>
      </c>
      <c r="M137" s="49" t="s">
        <v>291</v>
      </c>
      <c r="N137" s="77">
        <f>VLOOKUP(M137,'Aux2'!$B$2:$C$21,2,0)</f>
        <v>44408</v>
      </c>
    </row>
    <row r="138" spans="1:14" ht="15" customHeight="1">
      <c r="B138" s="41" t="s">
        <v>488</v>
      </c>
      <c r="C138" s="41" t="s">
        <v>322</v>
      </c>
      <c r="D138" s="41" t="s">
        <v>286</v>
      </c>
      <c r="E138" s="59" t="s">
        <v>323</v>
      </c>
      <c r="F138" s="41" t="s">
        <v>127</v>
      </c>
      <c r="G138" s="41">
        <v>1</v>
      </c>
      <c r="H138" s="49">
        <v>200</v>
      </c>
      <c r="I138" s="74">
        <f>H138*G138</f>
        <v>200</v>
      </c>
      <c r="J138" s="49" t="s">
        <v>55</v>
      </c>
      <c r="K138" s="41" t="s">
        <v>61</v>
      </c>
      <c r="L138" s="49" t="s">
        <v>128</v>
      </c>
      <c r="M138" s="49" t="s">
        <v>31</v>
      </c>
      <c r="N138" s="77">
        <f>VLOOKUP(M138,'Aux2'!$B$2:$C$21,2,0)</f>
        <v>44713</v>
      </c>
    </row>
    <row r="139" spans="1:14" ht="15" customHeight="1">
      <c r="B139" s="41" t="s">
        <v>488</v>
      </c>
      <c r="C139" s="41" t="s">
        <v>324</v>
      </c>
      <c r="D139" s="41" t="s">
        <v>286</v>
      </c>
      <c r="E139" s="59" t="s">
        <v>325</v>
      </c>
      <c r="F139" s="41" t="s">
        <v>127</v>
      </c>
      <c r="G139" s="41">
        <v>1</v>
      </c>
      <c r="H139" s="49">
        <v>200</v>
      </c>
      <c r="I139" s="74">
        <f>H139*G139</f>
        <v>200</v>
      </c>
      <c r="J139" s="49" t="s">
        <v>55</v>
      </c>
      <c r="K139" s="41" t="s">
        <v>61</v>
      </c>
      <c r="L139" s="49" t="s">
        <v>128</v>
      </c>
      <c r="M139" s="49" t="s">
        <v>31</v>
      </c>
      <c r="N139" s="77">
        <f>VLOOKUP(M139,'Aux2'!$B$2:$C$21,2,0)</f>
        <v>44713</v>
      </c>
    </row>
    <row r="140" spans="1:14" ht="15" customHeight="1">
      <c r="B140" s="41" t="s">
        <v>488</v>
      </c>
      <c r="C140" s="41" t="s">
        <v>326</v>
      </c>
      <c r="D140" s="41" t="s">
        <v>286</v>
      </c>
      <c r="E140" s="59" t="s">
        <v>327</v>
      </c>
      <c r="F140" s="41" t="s">
        <v>127</v>
      </c>
      <c r="G140" s="41">
        <v>1</v>
      </c>
      <c r="H140" s="49">
        <v>200</v>
      </c>
      <c r="I140" s="74">
        <f>H140*G140</f>
        <v>200</v>
      </c>
      <c r="J140" s="49" t="s">
        <v>55</v>
      </c>
      <c r="K140" s="41" t="s">
        <v>61</v>
      </c>
      <c r="L140" s="49" t="s">
        <v>128</v>
      </c>
      <c r="M140" s="49" t="s">
        <v>31</v>
      </c>
      <c r="N140" s="77">
        <f>VLOOKUP(M140,'Aux2'!$B$2:$C$21,2,0)</f>
        <v>44713</v>
      </c>
    </row>
    <row r="141" spans="1:14" ht="15" customHeight="1">
      <c r="A141" s="46" t="s">
        <v>484</v>
      </c>
      <c r="B141" s="46" t="s">
        <v>488</v>
      </c>
      <c r="C141" s="46">
        <v>6</v>
      </c>
      <c r="D141" s="46" t="s">
        <v>328</v>
      </c>
      <c r="E141" s="60" t="s">
        <v>328</v>
      </c>
      <c r="F141" s="46"/>
      <c r="G141" s="46"/>
      <c r="H141" s="50"/>
      <c r="I141" s="73">
        <f>I142+I147+I151+I155+I161</f>
        <v>93300</v>
      </c>
      <c r="J141" s="48"/>
      <c r="K141" s="48"/>
      <c r="L141" s="48"/>
      <c r="M141" s="48"/>
      <c r="N141" s="76"/>
    </row>
    <row r="142" spans="1:14" ht="15" customHeight="1">
      <c r="A142" s="46"/>
      <c r="B142" s="46"/>
      <c r="C142" s="46" t="s">
        <v>329</v>
      </c>
      <c r="D142" s="46" t="s">
        <v>328</v>
      </c>
      <c r="E142" s="60" t="s">
        <v>330</v>
      </c>
      <c r="F142" s="46"/>
      <c r="G142" s="46"/>
      <c r="H142" s="50"/>
      <c r="I142" s="73">
        <f>SUM(I143:I146)</f>
        <v>15400</v>
      </c>
      <c r="J142" s="48"/>
      <c r="K142" s="48"/>
      <c r="L142" s="48"/>
      <c r="M142" s="48"/>
      <c r="N142" s="76"/>
    </row>
    <row r="143" spans="1:14" ht="15" customHeight="1">
      <c r="B143" s="41" t="s">
        <v>488</v>
      </c>
      <c r="C143" s="41" t="s">
        <v>331</v>
      </c>
      <c r="D143" s="41" t="s">
        <v>328</v>
      </c>
      <c r="E143" s="59" t="s">
        <v>332</v>
      </c>
      <c r="F143" s="41" t="s">
        <v>44</v>
      </c>
      <c r="G143" s="41">
        <v>11</v>
      </c>
      <c r="H143" s="49">
        <v>350</v>
      </c>
      <c r="I143" s="74">
        <f>H143*G143</f>
        <v>3850</v>
      </c>
      <c r="J143" s="41" t="s">
        <v>45</v>
      </c>
      <c r="K143" s="41" t="s">
        <v>492</v>
      </c>
      <c r="L143" s="41" t="s">
        <v>35</v>
      </c>
      <c r="M143" s="41" t="s">
        <v>157</v>
      </c>
      <c r="N143" s="77" t="s">
        <v>157</v>
      </c>
    </row>
    <row r="144" spans="1:14" ht="15" customHeight="1">
      <c r="B144" s="41" t="s">
        <v>488</v>
      </c>
      <c r="C144" s="41" t="s">
        <v>333</v>
      </c>
      <c r="D144" s="41" t="s">
        <v>328</v>
      </c>
      <c r="E144" s="59" t="s">
        <v>334</v>
      </c>
      <c r="F144" s="41" t="s">
        <v>44</v>
      </c>
      <c r="G144" s="41">
        <v>11</v>
      </c>
      <c r="H144" s="49">
        <v>350</v>
      </c>
      <c r="I144" s="74">
        <f>H144*G144</f>
        <v>3850</v>
      </c>
      <c r="J144" s="41" t="s">
        <v>45</v>
      </c>
      <c r="K144" s="41" t="s">
        <v>492</v>
      </c>
      <c r="L144" s="41" t="s">
        <v>35</v>
      </c>
      <c r="M144" s="41" t="s">
        <v>157</v>
      </c>
      <c r="N144" s="77" t="s">
        <v>157</v>
      </c>
    </row>
    <row r="145" spans="1:14" ht="15" customHeight="1">
      <c r="B145" s="41" t="s">
        <v>488</v>
      </c>
      <c r="C145" s="41" t="s">
        <v>335</v>
      </c>
      <c r="D145" s="41" t="s">
        <v>328</v>
      </c>
      <c r="E145" s="59" t="s">
        <v>336</v>
      </c>
      <c r="F145" s="41" t="s">
        <v>44</v>
      </c>
      <c r="G145" s="41">
        <v>11</v>
      </c>
      <c r="H145" s="49">
        <v>350</v>
      </c>
      <c r="I145" s="74">
        <f>H145*G145</f>
        <v>3850</v>
      </c>
      <c r="J145" s="41" t="s">
        <v>45</v>
      </c>
      <c r="K145" s="41" t="s">
        <v>492</v>
      </c>
      <c r="L145" s="41" t="s">
        <v>35</v>
      </c>
      <c r="M145" s="41" t="s">
        <v>157</v>
      </c>
      <c r="N145" s="77" t="s">
        <v>157</v>
      </c>
    </row>
    <row r="146" spans="1:14" ht="15" customHeight="1">
      <c r="B146" s="41" t="s">
        <v>488</v>
      </c>
      <c r="C146" s="41" t="s">
        <v>337</v>
      </c>
      <c r="D146" s="41" t="s">
        <v>328</v>
      </c>
      <c r="E146" s="59" t="s">
        <v>338</v>
      </c>
      <c r="F146" s="41" t="s">
        <v>44</v>
      </c>
      <c r="G146" s="41">
        <v>11</v>
      </c>
      <c r="H146" s="49">
        <v>350</v>
      </c>
      <c r="I146" s="74">
        <f>H146*G146</f>
        <v>3850</v>
      </c>
      <c r="J146" s="41" t="s">
        <v>45</v>
      </c>
      <c r="K146" s="41" t="s">
        <v>492</v>
      </c>
      <c r="L146" s="41" t="s">
        <v>35</v>
      </c>
      <c r="M146" s="41" t="s">
        <v>157</v>
      </c>
      <c r="N146" s="77" t="s">
        <v>157</v>
      </c>
    </row>
    <row r="147" spans="1:14" ht="15" customHeight="1">
      <c r="A147" s="46"/>
      <c r="B147" s="46"/>
      <c r="C147" s="46" t="s">
        <v>339</v>
      </c>
      <c r="D147" s="46" t="s">
        <v>328</v>
      </c>
      <c r="E147" s="60" t="s">
        <v>340</v>
      </c>
      <c r="F147" s="46"/>
      <c r="G147" s="46"/>
      <c r="H147" s="50"/>
      <c r="I147" s="73">
        <f>SUM(I148:I150)</f>
        <v>2100</v>
      </c>
      <c r="J147" s="48"/>
      <c r="K147" s="48"/>
      <c r="L147" s="48"/>
      <c r="M147" s="48"/>
      <c r="N147" s="76"/>
    </row>
    <row r="148" spans="1:14" ht="15" customHeight="1">
      <c r="B148" s="41" t="s">
        <v>488</v>
      </c>
      <c r="C148" s="41" t="s">
        <v>341</v>
      </c>
      <c r="D148" s="41" t="s">
        <v>328</v>
      </c>
      <c r="E148" s="59" t="s">
        <v>342</v>
      </c>
      <c r="F148" s="41" t="s">
        <v>44</v>
      </c>
      <c r="G148" s="41">
        <v>11</v>
      </c>
      <c r="H148" s="49">
        <v>50</v>
      </c>
      <c r="I148" s="74">
        <f>H148*G148</f>
        <v>550</v>
      </c>
      <c r="J148" s="41" t="s">
        <v>45</v>
      </c>
      <c r="K148" s="41" t="s">
        <v>492</v>
      </c>
      <c r="L148" s="41" t="s">
        <v>35</v>
      </c>
      <c r="M148" s="41" t="s">
        <v>157</v>
      </c>
      <c r="N148" s="77" t="s">
        <v>157</v>
      </c>
    </row>
    <row r="149" spans="1:14" ht="15" customHeight="1">
      <c r="B149" s="41" t="s">
        <v>488</v>
      </c>
      <c r="C149" s="41" t="s">
        <v>343</v>
      </c>
      <c r="D149" s="41" t="s">
        <v>328</v>
      </c>
      <c r="E149" s="59" t="s">
        <v>344</v>
      </c>
      <c r="F149" s="41" t="s">
        <v>44</v>
      </c>
      <c r="G149" s="41">
        <v>11</v>
      </c>
      <c r="H149" s="49">
        <v>50</v>
      </c>
      <c r="I149" s="74">
        <f>H149*G149</f>
        <v>550</v>
      </c>
      <c r="J149" s="41" t="s">
        <v>45</v>
      </c>
      <c r="K149" s="41" t="s">
        <v>492</v>
      </c>
      <c r="L149" s="41" t="s">
        <v>35</v>
      </c>
      <c r="M149" s="41" t="s">
        <v>157</v>
      </c>
      <c r="N149" s="77" t="s">
        <v>157</v>
      </c>
    </row>
    <row r="150" spans="1:14" ht="15" customHeight="1">
      <c r="B150" s="41" t="s">
        <v>488</v>
      </c>
      <c r="C150" s="41" t="s">
        <v>345</v>
      </c>
      <c r="D150" s="41" t="s">
        <v>328</v>
      </c>
      <c r="E150" s="59" t="s">
        <v>346</v>
      </c>
      <c r="F150" s="41" t="s">
        <v>127</v>
      </c>
      <c r="G150" s="41">
        <v>1</v>
      </c>
      <c r="H150" s="49">
        <v>1000</v>
      </c>
      <c r="I150" s="74">
        <f>H150*G150</f>
        <v>1000</v>
      </c>
      <c r="J150" s="49" t="s">
        <v>55</v>
      </c>
      <c r="K150" s="49" t="s">
        <v>56</v>
      </c>
      <c r="L150" s="49" t="s">
        <v>128</v>
      </c>
      <c r="M150" s="49" t="s">
        <v>291</v>
      </c>
      <c r="N150" s="77">
        <f>VLOOKUP(M150,'Aux2'!$B$2:$C$21,2,0)</f>
        <v>44408</v>
      </c>
    </row>
    <row r="151" spans="1:14" ht="15" customHeight="1">
      <c r="A151" s="46"/>
      <c r="B151" s="46"/>
      <c r="C151" s="46" t="s">
        <v>347</v>
      </c>
      <c r="D151" s="46" t="s">
        <v>328</v>
      </c>
      <c r="E151" s="60" t="s">
        <v>348</v>
      </c>
      <c r="F151" s="46"/>
      <c r="G151" s="46"/>
      <c r="H151" s="50"/>
      <c r="I151" s="73">
        <f>SUM(I152:I154)</f>
        <v>4500</v>
      </c>
      <c r="J151" s="48"/>
      <c r="K151" s="48"/>
      <c r="L151" s="48"/>
      <c r="M151" s="48"/>
      <c r="N151" s="76"/>
    </row>
    <row r="152" spans="1:14" ht="15" customHeight="1">
      <c r="B152" s="41" t="s">
        <v>488</v>
      </c>
      <c r="C152" s="41" t="s">
        <v>349</v>
      </c>
      <c r="D152" s="41" t="s">
        <v>328</v>
      </c>
      <c r="E152" s="59" t="s">
        <v>350</v>
      </c>
      <c r="F152" s="41" t="s">
        <v>127</v>
      </c>
      <c r="G152" s="41">
        <v>1</v>
      </c>
      <c r="H152" s="49">
        <v>1500</v>
      </c>
      <c r="I152" s="74">
        <f>H152*G152</f>
        <v>1500</v>
      </c>
      <c r="J152" s="49" t="s">
        <v>55</v>
      </c>
      <c r="K152" s="49" t="s">
        <v>56</v>
      </c>
      <c r="L152" s="49" t="s">
        <v>128</v>
      </c>
      <c r="M152" s="49" t="s">
        <v>291</v>
      </c>
      <c r="N152" s="77">
        <f>VLOOKUP(M152,'Aux2'!$B$2:$C$21,2,0)</f>
        <v>44408</v>
      </c>
    </row>
    <row r="153" spans="1:14" ht="15" customHeight="1">
      <c r="B153" s="41" t="s">
        <v>488</v>
      </c>
      <c r="C153" s="41" t="s">
        <v>351</v>
      </c>
      <c r="D153" s="41" t="s">
        <v>328</v>
      </c>
      <c r="E153" s="59" t="s">
        <v>352</v>
      </c>
      <c r="F153" s="41" t="s">
        <v>127</v>
      </c>
      <c r="G153" s="41">
        <v>1</v>
      </c>
      <c r="H153" s="49">
        <v>1500</v>
      </c>
      <c r="I153" s="74">
        <f>H153*G153</f>
        <v>1500</v>
      </c>
      <c r="J153" s="49" t="s">
        <v>55</v>
      </c>
      <c r="K153" s="49" t="s">
        <v>56</v>
      </c>
      <c r="L153" s="49" t="s">
        <v>128</v>
      </c>
      <c r="M153" s="49" t="s">
        <v>291</v>
      </c>
      <c r="N153" s="77">
        <f>VLOOKUP(M153,'Aux2'!$B$2:$C$21,2,0)</f>
        <v>44408</v>
      </c>
    </row>
    <row r="154" spans="1:14" ht="15" customHeight="1">
      <c r="B154" s="41" t="s">
        <v>488</v>
      </c>
      <c r="C154" s="41" t="s">
        <v>353</v>
      </c>
      <c r="D154" s="41" t="s">
        <v>328</v>
      </c>
      <c r="E154" s="59" t="s">
        <v>354</v>
      </c>
      <c r="F154" s="41" t="s">
        <v>127</v>
      </c>
      <c r="G154" s="41">
        <v>1</v>
      </c>
      <c r="H154" s="49">
        <v>1500</v>
      </c>
      <c r="I154" s="74">
        <f>H154*G154</f>
        <v>1500</v>
      </c>
      <c r="J154" s="49" t="s">
        <v>55</v>
      </c>
      <c r="K154" s="49" t="s">
        <v>56</v>
      </c>
      <c r="L154" s="49" t="s">
        <v>128</v>
      </c>
      <c r="M154" s="49" t="s">
        <v>291</v>
      </c>
      <c r="N154" s="77">
        <f>VLOOKUP(M154,'Aux2'!$B$2:$C$21,2,0)</f>
        <v>44408</v>
      </c>
    </row>
    <row r="155" spans="1:14" ht="15" customHeight="1">
      <c r="A155" s="46"/>
      <c r="B155" s="46"/>
      <c r="C155" s="46" t="s">
        <v>355</v>
      </c>
      <c r="D155" s="46" t="s">
        <v>328</v>
      </c>
      <c r="E155" s="60" t="s">
        <v>356</v>
      </c>
      <c r="F155" s="46"/>
      <c r="G155" s="46"/>
      <c r="H155" s="50"/>
      <c r="I155" s="73">
        <f>SUM(I156:I160)</f>
        <v>7500</v>
      </c>
      <c r="J155" s="48"/>
      <c r="K155" s="48"/>
      <c r="L155" s="48"/>
      <c r="M155" s="48"/>
      <c r="N155" s="76"/>
    </row>
    <row r="156" spans="1:14" ht="15" customHeight="1">
      <c r="B156" s="41" t="s">
        <v>488</v>
      </c>
      <c r="C156" s="41" t="s">
        <v>357</v>
      </c>
      <c r="D156" s="41" t="s">
        <v>328</v>
      </c>
      <c r="E156" s="59" t="s">
        <v>358</v>
      </c>
      <c r="F156" s="41" t="s">
        <v>127</v>
      </c>
      <c r="G156" s="41">
        <v>1</v>
      </c>
      <c r="H156" s="49">
        <v>1500</v>
      </c>
      <c r="I156" s="74">
        <f>H156*G156</f>
        <v>1500</v>
      </c>
      <c r="J156" s="49" t="s">
        <v>55</v>
      </c>
      <c r="K156" s="49" t="s">
        <v>56</v>
      </c>
      <c r="L156" s="49" t="s">
        <v>128</v>
      </c>
      <c r="M156" s="49" t="s">
        <v>291</v>
      </c>
      <c r="N156" s="77">
        <f>VLOOKUP(M156,'Aux2'!$B$2:$C$21,2,0)</f>
        <v>44408</v>
      </c>
    </row>
    <row r="157" spans="1:14" ht="15" customHeight="1">
      <c r="B157" s="41" t="s">
        <v>488</v>
      </c>
      <c r="C157" s="41" t="s">
        <v>359</v>
      </c>
      <c r="D157" s="41" t="s">
        <v>328</v>
      </c>
      <c r="E157" s="59" t="s">
        <v>360</v>
      </c>
      <c r="F157" s="41" t="s">
        <v>127</v>
      </c>
      <c r="G157" s="41">
        <v>1</v>
      </c>
      <c r="H157" s="49">
        <v>1500</v>
      </c>
      <c r="I157" s="74">
        <f>H157*G157</f>
        <v>1500</v>
      </c>
      <c r="J157" s="49" t="s">
        <v>55</v>
      </c>
      <c r="K157" s="49" t="s">
        <v>56</v>
      </c>
      <c r="L157" s="49" t="s">
        <v>128</v>
      </c>
      <c r="M157" s="49" t="s">
        <v>291</v>
      </c>
      <c r="N157" s="77">
        <f>VLOOKUP(M157,'Aux2'!$B$2:$C$21,2,0)</f>
        <v>44408</v>
      </c>
    </row>
    <row r="158" spans="1:14" ht="15" customHeight="1">
      <c r="B158" s="41" t="s">
        <v>488</v>
      </c>
      <c r="C158" s="41" t="s">
        <v>361</v>
      </c>
      <c r="D158" s="41" t="s">
        <v>328</v>
      </c>
      <c r="E158" s="59" t="s">
        <v>362</v>
      </c>
      <c r="F158" s="41" t="s">
        <v>127</v>
      </c>
      <c r="G158" s="41">
        <v>1</v>
      </c>
      <c r="H158" s="49">
        <v>1500</v>
      </c>
      <c r="I158" s="74">
        <f>H158*G158</f>
        <v>1500</v>
      </c>
      <c r="J158" s="49" t="s">
        <v>55</v>
      </c>
      <c r="K158" s="49" t="s">
        <v>56</v>
      </c>
      <c r="L158" s="49" t="s">
        <v>128</v>
      </c>
      <c r="M158" s="49" t="s">
        <v>291</v>
      </c>
      <c r="N158" s="77">
        <f>VLOOKUP(M158,'Aux2'!$B$2:$C$21,2,0)</f>
        <v>44408</v>
      </c>
    </row>
    <row r="159" spans="1:14" ht="15" customHeight="1">
      <c r="B159" s="41" t="s">
        <v>488</v>
      </c>
      <c r="C159" s="41" t="s">
        <v>363</v>
      </c>
      <c r="D159" s="41" t="s">
        <v>328</v>
      </c>
      <c r="E159" s="59" t="s">
        <v>364</v>
      </c>
      <c r="F159" s="41" t="s">
        <v>127</v>
      </c>
      <c r="G159" s="41">
        <v>1</v>
      </c>
      <c r="H159" s="49">
        <v>1500</v>
      </c>
      <c r="I159" s="74">
        <f>H159*G159</f>
        <v>1500</v>
      </c>
      <c r="J159" s="49" t="s">
        <v>55</v>
      </c>
      <c r="K159" s="41" t="s">
        <v>61</v>
      </c>
      <c r="L159" s="49" t="s">
        <v>128</v>
      </c>
      <c r="M159" s="49" t="s">
        <v>31</v>
      </c>
      <c r="N159" s="77">
        <f>VLOOKUP(M159,'Aux2'!$B$2:$C$21,2,0)</f>
        <v>44713</v>
      </c>
    </row>
    <row r="160" spans="1:14" ht="15" customHeight="1">
      <c r="B160" s="41" t="s">
        <v>488</v>
      </c>
      <c r="C160" s="41" t="s">
        <v>365</v>
      </c>
      <c r="D160" s="41" t="s">
        <v>328</v>
      </c>
      <c r="E160" s="59" t="s">
        <v>366</v>
      </c>
      <c r="F160" s="41" t="s">
        <v>127</v>
      </c>
      <c r="G160" s="41">
        <v>1</v>
      </c>
      <c r="H160" s="49">
        <v>1500</v>
      </c>
      <c r="I160" s="74">
        <f>H160*G160</f>
        <v>1500</v>
      </c>
      <c r="J160" s="49" t="s">
        <v>55</v>
      </c>
      <c r="K160" s="41" t="s">
        <v>61</v>
      </c>
      <c r="L160" s="49" t="s">
        <v>128</v>
      </c>
      <c r="M160" s="49" t="s">
        <v>31</v>
      </c>
      <c r="N160" s="77">
        <f>VLOOKUP(M160,'Aux2'!$B$2:$C$21,2,0)</f>
        <v>44713</v>
      </c>
    </row>
    <row r="161" spans="1:14" ht="15" customHeight="1">
      <c r="A161" s="46"/>
      <c r="B161" s="46"/>
      <c r="C161" s="46" t="s">
        <v>367</v>
      </c>
      <c r="D161" s="46" t="s">
        <v>328</v>
      </c>
      <c r="E161" s="60" t="s">
        <v>368</v>
      </c>
      <c r="F161" s="46"/>
      <c r="G161" s="46"/>
      <c r="H161" s="50"/>
      <c r="I161" s="73">
        <f>SUM(I162:I164)</f>
        <v>63800</v>
      </c>
      <c r="J161" s="48"/>
      <c r="K161" s="48"/>
      <c r="L161" s="48"/>
      <c r="M161" s="48"/>
      <c r="N161" s="76"/>
    </row>
    <row r="162" spans="1:14" ht="15" customHeight="1">
      <c r="B162" s="41" t="s">
        <v>488</v>
      </c>
      <c r="C162" s="41" t="s">
        <v>369</v>
      </c>
      <c r="D162" s="41" t="s">
        <v>328</v>
      </c>
      <c r="E162" s="59" t="s">
        <v>370</v>
      </c>
      <c r="F162" s="41" t="s">
        <v>44</v>
      </c>
      <c r="G162" s="41">
        <v>11</v>
      </c>
      <c r="H162" s="49">
        <v>5000</v>
      </c>
      <c r="I162" s="74">
        <f>H162*G162</f>
        <v>55000</v>
      </c>
      <c r="J162" s="41" t="s">
        <v>45</v>
      </c>
      <c r="K162" s="41" t="s">
        <v>492</v>
      </c>
      <c r="L162" s="41" t="s">
        <v>35</v>
      </c>
      <c r="M162" s="41" t="s">
        <v>157</v>
      </c>
      <c r="N162" s="77" t="s">
        <v>157</v>
      </c>
    </row>
    <row r="163" spans="1:14" ht="15" customHeight="1">
      <c r="B163" s="41" t="s">
        <v>488</v>
      </c>
      <c r="C163" s="41" t="s">
        <v>371</v>
      </c>
      <c r="D163" s="41" t="s">
        <v>328</v>
      </c>
      <c r="E163" s="59" t="s">
        <v>372</v>
      </c>
      <c r="F163" s="41" t="s">
        <v>44</v>
      </c>
      <c r="G163" s="41">
        <v>11</v>
      </c>
      <c r="H163" s="49">
        <v>300</v>
      </c>
      <c r="I163" s="74">
        <f>H163*G163</f>
        <v>3300</v>
      </c>
      <c r="J163" s="41" t="s">
        <v>45</v>
      </c>
      <c r="K163" s="41" t="s">
        <v>492</v>
      </c>
      <c r="L163" s="41" t="s">
        <v>35</v>
      </c>
      <c r="M163" s="41" t="s">
        <v>157</v>
      </c>
      <c r="N163" s="77" t="s">
        <v>157</v>
      </c>
    </row>
    <row r="164" spans="1:14" ht="15" customHeight="1">
      <c r="B164" s="41" t="s">
        <v>488</v>
      </c>
      <c r="C164" s="41" t="s">
        <v>373</v>
      </c>
      <c r="D164" s="41" t="s">
        <v>328</v>
      </c>
      <c r="E164" s="59" t="s">
        <v>374</v>
      </c>
      <c r="F164" s="41" t="s">
        <v>44</v>
      </c>
      <c r="G164" s="41">
        <v>11</v>
      </c>
      <c r="H164" s="49">
        <v>500</v>
      </c>
      <c r="I164" s="74">
        <f>H164*G164</f>
        <v>5500</v>
      </c>
      <c r="J164" s="41" t="s">
        <v>45</v>
      </c>
      <c r="K164" s="41" t="s">
        <v>492</v>
      </c>
      <c r="L164" s="41" t="s">
        <v>35</v>
      </c>
      <c r="M164" s="41" t="s">
        <v>157</v>
      </c>
      <c r="N164" s="77" t="s">
        <v>157</v>
      </c>
    </row>
    <row r="165" spans="1:14" ht="15" customHeight="1">
      <c r="A165" s="46" t="s">
        <v>484</v>
      </c>
      <c r="B165" s="46" t="s">
        <v>488</v>
      </c>
      <c r="C165" s="46">
        <v>7</v>
      </c>
      <c r="D165" s="46" t="s">
        <v>375</v>
      </c>
      <c r="E165" s="60" t="s">
        <v>375</v>
      </c>
      <c r="F165" s="46"/>
      <c r="G165" s="48"/>
      <c r="H165" s="50"/>
      <c r="I165" s="73">
        <f>I166+I168+I170+I174+I178+I184</f>
        <v>529200</v>
      </c>
      <c r="J165" s="47"/>
      <c r="K165" s="47"/>
      <c r="L165" s="47"/>
      <c r="M165" s="47"/>
      <c r="N165" s="76"/>
    </row>
    <row r="166" spans="1:14" ht="15" customHeight="1">
      <c r="A166" s="46"/>
      <c r="B166" s="46"/>
      <c r="C166" s="46" t="s">
        <v>376</v>
      </c>
      <c r="D166" s="46" t="s">
        <v>375</v>
      </c>
      <c r="E166" s="60" t="s">
        <v>377</v>
      </c>
      <c r="F166" s="46"/>
      <c r="G166" s="48"/>
      <c r="H166" s="50"/>
      <c r="I166" s="73">
        <f>I167</f>
        <v>288000</v>
      </c>
      <c r="J166" s="47"/>
      <c r="K166" s="47"/>
      <c r="L166" s="47"/>
      <c r="M166" s="47"/>
      <c r="N166" s="76"/>
    </row>
    <row r="167" spans="1:14" ht="15" customHeight="1">
      <c r="B167" s="41" t="s">
        <v>488</v>
      </c>
      <c r="C167" s="41" t="s">
        <v>378</v>
      </c>
      <c r="D167" s="41" t="s">
        <v>375</v>
      </c>
      <c r="E167" s="59" t="s">
        <v>379</v>
      </c>
      <c r="F167" s="41" t="s">
        <v>380</v>
      </c>
      <c r="G167" s="51">
        <v>16</v>
      </c>
      <c r="H167" s="49">
        <f>200000*0.09</f>
        <v>18000</v>
      </c>
      <c r="I167" s="74">
        <f>H167*G167</f>
        <v>288000</v>
      </c>
      <c r="J167" s="41" t="s">
        <v>45</v>
      </c>
      <c r="K167" s="49" t="s">
        <v>381</v>
      </c>
      <c r="L167" s="49"/>
      <c r="M167" s="49"/>
      <c r="N167" s="77" t="s">
        <v>504</v>
      </c>
    </row>
    <row r="168" spans="1:14" ht="15" customHeight="1">
      <c r="A168" s="46"/>
      <c r="B168" s="46"/>
      <c r="C168" s="46" t="s">
        <v>382</v>
      </c>
      <c r="D168" s="46" t="s">
        <v>375</v>
      </c>
      <c r="E168" s="60" t="s">
        <v>383</v>
      </c>
      <c r="F168" s="46"/>
      <c r="G168" s="48"/>
      <c r="H168" s="50"/>
      <c r="I168" s="73">
        <f>I169</f>
        <v>192000</v>
      </c>
      <c r="J168" s="47"/>
      <c r="K168" s="47"/>
      <c r="L168" s="47"/>
      <c r="M168" s="47"/>
      <c r="N168" s="76"/>
    </row>
    <row r="169" spans="1:14" ht="15" customHeight="1">
      <c r="B169" s="41" t="s">
        <v>488</v>
      </c>
      <c r="C169" s="41" t="s">
        <v>384</v>
      </c>
      <c r="D169" s="41" t="s">
        <v>375</v>
      </c>
      <c r="E169" s="59" t="s">
        <v>385</v>
      </c>
      <c r="F169" s="41" t="s">
        <v>380</v>
      </c>
      <c r="G169" s="51">
        <v>16</v>
      </c>
      <c r="H169" s="49">
        <f>200000*0.06</f>
        <v>12000</v>
      </c>
      <c r="I169" s="74">
        <f>H169*G169</f>
        <v>192000</v>
      </c>
      <c r="J169" s="41" t="s">
        <v>45</v>
      </c>
      <c r="K169" s="49" t="s">
        <v>381</v>
      </c>
      <c r="L169" s="49"/>
      <c r="M169" s="49"/>
      <c r="N169" s="77" t="s">
        <v>504</v>
      </c>
    </row>
    <row r="170" spans="1:14" ht="15" customHeight="1">
      <c r="A170" s="46"/>
      <c r="B170" s="46"/>
      <c r="C170" s="46" t="s">
        <v>386</v>
      </c>
      <c r="D170" s="46" t="s">
        <v>375</v>
      </c>
      <c r="E170" s="60" t="s">
        <v>387</v>
      </c>
      <c r="F170" s="46"/>
      <c r="G170" s="48"/>
      <c r="H170" s="50"/>
      <c r="I170" s="73">
        <f>SUM(I171:I173)</f>
        <v>16000</v>
      </c>
      <c r="J170" s="47"/>
      <c r="K170" s="47"/>
      <c r="L170" s="47"/>
      <c r="M170" s="47"/>
      <c r="N170" s="76"/>
    </row>
    <row r="171" spans="1:14" ht="15" customHeight="1">
      <c r="B171" s="41" t="s">
        <v>488</v>
      </c>
      <c r="C171" s="41" t="s">
        <v>388</v>
      </c>
      <c r="D171" s="41" t="s">
        <v>375</v>
      </c>
      <c r="E171" s="59" t="s">
        <v>389</v>
      </c>
      <c r="F171" s="41" t="s">
        <v>127</v>
      </c>
      <c r="G171" s="51">
        <v>1</v>
      </c>
      <c r="H171" s="49">
        <v>2500</v>
      </c>
      <c r="I171" s="74">
        <f t="shared" ref="I171:I183" si="7">H171*G171</f>
        <v>2500</v>
      </c>
      <c r="J171" s="49" t="s">
        <v>55</v>
      </c>
      <c r="K171" s="49" t="s">
        <v>56</v>
      </c>
      <c r="L171" s="49" t="s">
        <v>128</v>
      </c>
      <c r="M171" s="41" t="s">
        <v>28</v>
      </c>
      <c r="N171" s="77">
        <f>VLOOKUP(M171,'Aux2'!$B$2:$C$21,2,0)</f>
        <v>44409</v>
      </c>
    </row>
    <row r="172" spans="1:14" ht="15" customHeight="1">
      <c r="B172" s="41" t="s">
        <v>488</v>
      </c>
      <c r="C172" s="41" t="s">
        <v>390</v>
      </c>
      <c r="D172" s="41" t="s">
        <v>375</v>
      </c>
      <c r="E172" s="59" t="s">
        <v>391</v>
      </c>
      <c r="F172" s="41" t="s">
        <v>127</v>
      </c>
      <c r="G172" s="51">
        <v>1</v>
      </c>
      <c r="H172" s="49">
        <v>2500</v>
      </c>
      <c r="I172" s="74">
        <f t="shared" si="7"/>
        <v>2500</v>
      </c>
      <c r="J172" s="49" t="s">
        <v>55</v>
      </c>
      <c r="K172" s="49" t="s">
        <v>56</v>
      </c>
      <c r="L172" s="49" t="s">
        <v>128</v>
      </c>
      <c r="M172" s="41" t="s">
        <v>28</v>
      </c>
      <c r="N172" s="77">
        <f>VLOOKUP(M172,'Aux2'!$B$2:$C$21,2,0)</f>
        <v>44409</v>
      </c>
    </row>
    <row r="173" spans="1:14" ht="15" customHeight="1">
      <c r="B173" s="41" t="s">
        <v>488</v>
      </c>
      <c r="C173" s="41" t="s">
        <v>392</v>
      </c>
      <c r="D173" s="41" t="s">
        <v>375</v>
      </c>
      <c r="E173" s="59" t="s">
        <v>393</v>
      </c>
      <c r="F173" s="41" t="s">
        <v>44</v>
      </c>
      <c r="G173" s="51">
        <v>11</v>
      </c>
      <c r="H173" s="49">
        <v>1000</v>
      </c>
      <c r="I173" s="74">
        <f t="shared" si="7"/>
        <v>11000</v>
      </c>
      <c r="J173" s="41" t="s">
        <v>45</v>
      </c>
      <c r="K173" s="41" t="s">
        <v>492</v>
      </c>
      <c r="L173" s="41" t="s">
        <v>35</v>
      </c>
      <c r="M173" s="41" t="s">
        <v>157</v>
      </c>
      <c r="N173" s="77" t="s">
        <v>157</v>
      </c>
    </row>
    <row r="174" spans="1:14" ht="15" customHeight="1">
      <c r="A174" s="46"/>
      <c r="B174" s="46"/>
      <c r="C174" s="46" t="s">
        <v>394</v>
      </c>
      <c r="D174" s="46" t="s">
        <v>375</v>
      </c>
      <c r="E174" s="60" t="s">
        <v>395</v>
      </c>
      <c r="F174" s="46"/>
      <c r="G174" s="48"/>
      <c r="H174" s="50"/>
      <c r="I174" s="73">
        <f>SUM(I175:I177)</f>
        <v>6600</v>
      </c>
      <c r="J174" s="47"/>
      <c r="K174" s="47"/>
      <c r="L174" s="47"/>
      <c r="M174" s="47"/>
      <c r="N174" s="76"/>
    </row>
    <row r="175" spans="1:14" ht="15" customHeight="1">
      <c r="B175" s="41" t="s">
        <v>488</v>
      </c>
      <c r="C175" s="41" t="s">
        <v>396</v>
      </c>
      <c r="D175" s="41" t="s">
        <v>375</v>
      </c>
      <c r="E175" s="59" t="s">
        <v>397</v>
      </c>
      <c r="F175" s="41" t="s">
        <v>44</v>
      </c>
      <c r="G175" s="51">
        <v>11</v>
      </c>
      <c r="H175" s="49">
        <v>200</v>
      </c>
      <c r="I175" s="74">
        <f t="shared" si="7"/>
        <v>2200</v>
      </c>
      <c r="J175" s="41" t="s">
        <v>45</v>
      </c>
      <c r="K175" s="41" t="s">
        <v>492</v>
      </c>
      <c r="L175" s="41" t="s">
        <v>35</v>
      </c>
      <c r="M175" s="41" t="s">
        <v>157</v>
      </c>
      <c r="N175" s="77" t="s">
        <v>157</v>
      </c>
    </row>
    <row r="176" spans="1:14" ht="15" customHeight="1">
      <c r="B176" s="41" t="s">
        <v>488</v>
      </c>
      <c r="C176" s="41" t="s">
        <v>398</v>
      </c>
      <c r="D176" s="41" t="s">
        <v>375</v>
      </c>
      <c r="E176" s="59" t="s">
        <v>399</v>
      </c>
      <c r="F176" s="41" t="s">
        <v>44</v>
      </c>
      <c r="G176" s="51">
        <v>11</v>
      </c>
      <c r="H176" s="49">
        <v>200</v>
      </c>
      <c r="I176" s="74">
        <f t="shared" si="7"/>
        <v>2200</v>
      </c>
      <c r="J176" s="41" t="s">
        <v>45</v>
      </c>
      <c r="K176" s="41" t="s">
        <v>492</v>
      </c>
      <c r="L176" s="41" t="s">
        <v>35</v>
      </c>
      <c r="M176" s="41" t="s">
        <v>157</v>
      </c>
      <c r="N176" s="77" t="s">
        <v>157</v>
      </c>
    </row>
    <row r="177" spans="1:14" ht="15" customHeight="1">
      <c r="B177" s="41" t="s">
        <v>488</v>
      </c>
      <c r="C177" s="41" t="s">
        <v>400</v>
      </c>
      <c r="D177" s="41" t="s">
        <v>375</v>
      </c>
      <c r="E177" s="59" t="s">
        <v>401</v>
      </c>
      <c r="F177" s="41" t="s">
        <v>44</v>
      </c>
      <c r="G177" s="51">
        <v>11</v>
      </c>
      <c r="H177" s="49">
        <v>200</v>
      </c>
      <c r="I177" s="74">
        <f t="shared" si="7"/>
        <v>2200</v>
      </c>
      <c r="J177" s="41" t="s">
        <v>45</v>
      </c>
      <c r="K177" s="41" t="s">
        <v>492</v>
      </c>
      <c r="L177" s="41" t="s">
        <v>35</v>
      </c>
      <c r="M177" s="41" t="s">
        <v>157</v>
      </c>
      <c r="N177" s="77" t="s">
        <v>157</v>
      </c>
    </row>
    <row r="178" spans="1:14" ht="15" customHeight="1">
      <c r="A178" s="46"/>
      <c r="B178" s="46"/>
      <c r="C178" s="46" t="s">
        <v>402</v>
      </c>
      <c r="D178" s="46" t="s">
        <v>375</v>
      </c>
      <c r="E178" s="60" t="s">
        <v>403</v>
      </c>
      <c r="F178" s="46"/>
      <c r="G178" s="48"/>
      <c r="H178" s="50"/>
      <c r="I178" s="73">
        <f>SUM(I179:I183)</f>
        <v>7400</v>
      </c>
      <c r="J178" s="47"/>
      <c r="K178" s="47"/>
      <c r="L178" s="47"/>
      <c r="M178" s="47"/>
      <c r="N178" s="76"/>
    </row>
    <row r="179" spans="1:14" ht="15" customHeight="1">
      <c r="B179" s="41" t="s">
        <v>488</v>
      </c>
      <c r="C179" s="41" t="s">
        <v>404</v>
      </c>
      <c r="D179" s="41" t="s">
        <v>375</v>
      </c>
      <c r="E179" s="59" t="s">
        <v>405</v>
      </c>
      <c r="F179" s="41" t="s">
        <v>127</v>
      </c>
      <c r="G179" s="51">
        <v>1</v>
      </c>
      <c r="H179" s="49">
        <v>2500</v>
      </c>
      <c r="I179" s="74">
        <f t="shared" si="7"/>
        <v>2500</v>
      </c>
      <c r="J179" s="49" t="s">
        <v>55</v>
      </c>
      <c r="K179" s="41" t="s">
        <v>61</v>
      </c>
      <c r="L179" s="49" t="s">
        <v>128</v>
      </c>
      <c r="M179" s="49" t="s">
        <v>30</v>
      </c>
      <c r="N179" s="77">
        <f>VLOOKUP(M179,'Aux2'!$B$2:$C$21,2,0)</f>
        <v>44743</v>
      </c>
    </row>
    <row r="180" spans="1:14" ht="15" customHeight="1">
      <c r="B180" s="41" t="s">
        <v>488</v>
      </c>
      <c r="C180" s="41" t="s">
        <v>406</v>
      </c>
      <c r="D180" s="41" t="s">
        <v>375</v>
      </c>
      <c r="E180" s="59" t="s">
        <v>407</v>
      </c>
      <c r="F180" s="41" t="s">
        <v>127</v>
      </c>
      <c r="G180" s="51">
        <v>1</v>
      </c>
      <c r="H180" s="49">
        <v>2500</v>
      </c>
      <c r="I180" s="74">
        <f t="shared" si="7"/>
        <v>2500</v>
      </c>
      <c r="J180" s="49" t="s">
        <v>55</v>
      </c>
      <c r="K180" s="41" t="s">
        <v>61</v>
      </c>
      <c r="L180" s="49" t="s">
        <v>128</v>
      </c>
      <c r="M180" s="49" t="s">
        <v>30</v>
      </c>
      <c r="N180" s="77">
        <f>VLOOKUP(M180,'Aux2'!$B$2:$C$21,2,0)</f>
        <v>44743</v>
      </c>
    </row>
    <row r="181" spans="1:14" ht="15" customHeight="1">
      <c r="B181" s="41" t="s">
        <v>488</v>
      </c>
      <c r="C181" s="41" t="s">
        <v>408</v>
      </c>
      <c r="D181" s="41" t="s">
        <v>375</v>
      </c>
      <c r="E181" s="59" t="s">
        <v>409</v>
      </c>
      <c r="F181" s="41" t="s">
        <v>380</v>
      </c>
      <c r="G181" s="51">
        <v>16</v>
      </c>
      <c r="H181" s="49">
        <v>50</v>
      </c>
      <c r="I181" s="74">
        <f t="shared" si="7"/>
        <v>800</v>
      </c>
      <c r="J181" s="49" t="s">
        <v>55</v>
      </c>
      <c r="K181" s="41" t="s">
        <v>61</v>
      </c>
      <c r="L181" s="49" t="s">
        <v>128</v>
      </c>
      <c r="M181" s="49" t="s">
        <v>30</v>
      </c>
      <c r="N181" s="77">
        <f>VLOOKUP(M181,'Aux2'!$B$2:$C$21,2,0)</f>
        <v>44743</v>
      </c>
    </row>
    <row r="182" spans="1:14" ht="15" customHeight="1">
      <c r="B182" s="41" t="s">
        <v>488</v>
      </c>
      <c r="C182" s="41" t="s">
        <v>410</v>
      </c>
      <c r="D182" s="41" t="s">
        <v>375</v>
      </c>
      <c r="E182" s="59" t="s">
        <v>411</v>
      </c>
      <c r="F182" s="41" t="s">
        <v>380</v>
      </c>
      <c r="G182" s="51">
        <v>16</v>
      </c>
      <c r="H182" s="49">
        <v>50</v>
      </c>
      <c r="I182" s="74">
        <f t="shared" si="7"/>
        <v>800</v>
      </c>
      <c r="J182" s="49" t="s">
        <v>55</v>
      </c>
      <c r="K182" s="41" t="s">
        <v>61</v>
      </c>
      <c r="L182" s="49" t="s">
        <v>128</v>
      </c>
      <c r="M182" s="49" t="s">
        <v>30</v>
      </c>
      <c r="N182" s="77">
        <f>VLOOKUP(M182,'Aux2'!$B$2:$C$21,2,0)</f>
        <v>44743</v>
      </c>
    </row>
    <row r="183" spans="1:14" ht="15" customHeight="1">
      <c r="B183" s="41" t="s">
        <v>488</v>
      </c>
      <c r="C183" s="41" t="s">
        <v>412</v>
      </c>
      <c r="D183" s="41" t="s">
        <v>375</v>
      </c>
      <c r="E183" s="59" t="s">
        <v>413</v>
      </c>
      <c r="F183" s="41" t="s">
        <v>380</v>
      </c>
      <c r="G183" s="51">
        <v>16</v>
      </c>
      <c r="H183" s="49">
        <v>50</v>
      </c>
      <c r="I183" s="74">
        <f t="shared" si="7"/>
        <v>800</v>
      </c>
      <c r="J183" s="49" t="s">
        <v>55</v>
      </c>
      <c r="K183" s="41" t="s">
        <v>61</v>
      </c>
      <c r="L183" s="49" t="s">
        <v>128</v>
      </c>
      <c r="M183" s="49" t="s">
        <v>30</v>
      </c>
      <c r="N183" s="77">
        <f>VLOOKUP(M183,'Aux2'!$B$2:$C$21,2,0)</f>
        <v>44743</v>
      </c>
    </row>
    <row r="184" spans="1:14" ht="15" customHeight="1">
      <c r="A184" s="46"/>
      <c r="B184" s="46"/>
      <c r="C184" s="46" t="s">
        <v>414</v>
      </c>
      <c r="D184" s="46" t="s">
        <v>375</v>
      </c>
      <c r="E184" s="60" t="s">
        <v>415</v>
      </c>
      <c r="F184" s="46"/>
      <c r="G184" s="48"/>
      <c r="H184" s="50"/>
      <c r="I184" s="73">
        <f>SUM(I185:I186)</f>
        <v>19200</v>
      </c>
      <c r="J184" s="47"/>
      <c r="K184" s="47"/>
      <c r="L184" s="47"/>
      <c r="M184" s="47"/>
      <c r="N184" s="76"/>
    </row>
    <row r="185" spans="1:14" ht="15" customHeight="1">
      <c r="B185" s="41" t="s">
        <v>488</v>
      </c>
      <c r="C185" s="41" t="s">
        <v>416</v>
      </c>
      <c r="D185" s="41" t="s">
        <v>375</v>
      </c>
      <c r="E185" s="59" t="s">
        <v>417</v>
      </c>
      <c r="F185" s="41" t="s">
        <v>380</v>
      </c>
      <c r="G185" s="51">
        <v>16</v>
      </c>
      <c r="H185" s="49">
        <v>600</v>
      </c>
      <c r="I185" s="74">
        <f t="shared" ref="I185:I186" si="8">H185*G185</f>
        <v>9600</v>
      </c>
      <c r="J185" s="41" t="s">
        <v>45</v>
      </c>
      <c r="K185" s="49" t="s">
        <v>381</v>
      </c>
      <c r="L185" s="49"/>
      <c r="M185" s="49"/>
      <c r="N185" s="77" t="s">
        <v>504</v>
      </c>
    </row>
    <row r="186" spans="1:14" ht="15" customHeight="1">
      <c r="B186" s="41" t="s">
        <v>488</v>
      </c>
      <c r="C186" s="41" t="s">
        <v>418</v>
      </c>
      <c r="D186" s="41" t="s">
        <v>375</v>
      </c>
      <c r="E186" s="59" t="s">
        <v>419</v>
      </c>
      <c r="F186" s="41" t="s">
        <v>380</v>
      </c>
      <c r="G186" s="51">
        <v>16</v>
      </c>
      <c r="H186" s="49">
        <v>600</v>
      </c>
      <c r="I186" s="74">
        <f t="shared" si="8"/>
        <v>9600</v>
      </c>
      <c r="J186" s="41" t="s">
        <v>45</v>
      </c>
      <c r="K186" s="49" t="s">
        <v>381</v>
      </c>
      <c r="L186" s="49"/>
      <c r="M186" s="49"/>
      <c r="N186" s="77" t="s">
        <v>504</v>
      </c>
    </row>
    <row r="187" spans="1:14" ht="15" customHeight="1">
      <c r="A187" s="46" t="s">
        <v>484</v>
      </c>
      <c r="B187" s="46" t="s">
        <v>488</v>
      </c>
      <c r="C187" s="46">
        <v>8</v>
      </c>
      <c r="D187" s="46" t="s">
        <v>420</v>
      </c>
      <c r="E187" s="60" t="s">
        <v>420</v>
      </c>
      <c r="F187" s="46"/>
      <c r="G187" s="48"/>
      <c r="H187" s="50"/>
      <c r="I187" s="73">
        <f>I189</f>
        <v>100000</v>
      </c>
      <c r="J187" s="47"/>
      <c r="K187" s="47"/>
      <c r="L187" s="47"/>
      <c r="M187" s="47"/>
      <c r="N187" s="76"/>
    </row>
    <row r="188" spans="1:14" ht="15" customHeight="1">
      <c r="A188" s="46"/>
      <c r="B188" s="46"/>
      <c r="C188" s="46" t="s">
        <v>421</v>
      </c>
      <c r="D188" s="46" t="s">
        <v>420</v>
      </c>
      <c r="E188" s="60" t="s">
        <v>422</v>
      </c>
      <c r="F188" s="46"/>
      <c r="G188" s="48"/>
      <c r="H188" s="50"/>
      <c r="I188" s="73"/>
      <c r="J188" s="47"/>
      <c r="K188" s="47"/>
      <c r="L188" s="47"/>
      <c r="M188" s="47"/>
      <c r="N188" s="76"/>
    </row>
    <row r="189" spans="1:14" ht="15" customHeight="1">
      <c r="B189" s="41" t="s">
        <v>488</v>
      </c>
      <c r="C189" s="41" t="s">
        <v>423</v>
      </c>
      <c r="D189" s="41" t="s">
        <v>420</v>
      </c>
      <c r="E189" s="59" t="s">
        <v>424</v>
      </c>
      <c r="F189" s="41" t="s">
        <v>127</v>
      </c>
      <c r="G189" s="51">
        <v>1</v>
      </c>
      <c r="H189" s="49">
        <v>100000</v>
      </c>
      <c r="I189" s="74">
        <f>H189*G189</f>
        <v>100000</v>
      </c>
      <c r="J189" s="49" t="s">
        <v>55</v>
      </c>
      <c r="K189" s="49" t="s">
        <v>56</v>
      </c>
      <c r="L189" s="49" t="s">
        <v>128</v>
      </c>
      <c r="M189" s="49" t="s">
        <v>420</v>
      </c>
      <c r="N189" s="77">
        <f>VLOOKUP(M189,'Aux2'!$B$2:$C$21,2,0)</f>
        <v>44408</v>
      </c>
    </row>
    <row r="190" spans="1:14" ht="15" customHeight="1">
      <c r="B190" s="41" t="s">
        <v>488</v>
      </c>
      <c r="C190" s="41" t="s">
        <v>425</v>
      </c>
      <c r="D190" s="41" t="s">
        <v>420</v>
      </c>
      <c r="E190" s="59" t="s">
        <v>426</v>
      </c>
      <c r="F190" s="41" t="s">
        <v>127</v>
      </c>
      <c r="G190" s="51"/>
      <c r="J190" s="49"/>
      <c r="K190" s="49"/>
      <c r="L190" s="49"/>
      <c r="M190" s="49"/>
    </row>
    <row r="191" spans="1:14" ht="15" customHeight="1">
      <c r="B191" s="41" t="s">
        <v>488</v>
      </c>
      <c r="C191" s="41" t="s">
        <v>427</v>
      </c>
      <c r="D191" s="41" t="s">
        <v>420</v>
      </c>
      <c r="E191" s="59" t="s">
        <v>428</v>
      </c>
      <c r="F191" s="41" t="s">
        <v>127</v>
      </c>
      <c r="G191" s="51"/>
      <c r="J191" s="49"/>
      <c r="K191" s="49"/>
      <c r="L191" s="49"/>
      <c r="M191" s="49"/>
    </row>
    <row r="192" spans="1:14" ht="15" customHeight="1">
      <c r="B192" s="41" t="s">
        <v>488</v>
      </c>
      <c r="C192" s="41" t="s">
        <v>429</v>
      </c>
      <c r="D192" s="41" t="s">
        <v>420</v>
      </c>
      <c r="E192" s="59" t="s">
        <v>430</v>
      </c>
      <c r="F192" s="41" t="s">
        <v>127</v>
      </c>
      <c r="G192" s="51"/>
      <c r="J192" s="49"/>
      <c r="K192" s="49"/>
      <c r="L192" s="49"/>
      <c r="M192" s="49"/>
    </row>
    <row r="193" spans="1:14" ht="15" customHeight="1">
      <c r="B193" s="41" t="s">
        <v>488</v>
      </c>
      <c r="C193" s="41" t="s">
        <v>431</v>
      </c>
      <c r="D193" s="41" t="s">
        <v>420</v>
      </c>
      <c r="E193" s="59" t="s">
        <v>432</v>
      </c>
      <c r="F193" s="41" t="s">
        <v>44</v>
      </c>
      <c r="G193" s="51"/>
      <c r="J193" s="49"/>
      <c r="K193" s="49"/>
      <c r="L193" s="49"/>
      <c r="M193" s="49"/>
    </row>
    <row r="194" spans="1:14" ht="15" customHeight="1">
      <c r="B194" s="41" t="s">
        <v>488</v>
      </c>
      <c r="C194" s="41" t="s">
        <v>433</v>
      </c>
      <c r="D194" s="41" t="s">
        <v>420</v>
      </c>
      <c r="E194" s="59" t="s">
        <v>434</v>
      </c>
      <c r="F194" s="41" t="s">
        <v>127</v>
      </c>
      <c r="G194" s="51"/>
      <c r="J194" s="49"/>
      <c r="K194" s="49"/>
      <c r="L194" s="49"/>
      <c r="M194" s="49"/>
    </row>
    <row r="195" spans="1:14" ht="15" customHeight="1">
      <c r="A195" s="46"/>
      <c r="B195" s="46"/>
      <c r="C195" s="46" t="s">
        <v>435</v>
      </c>
      <c r="D195" s="46" t="s">
        <v>420</v>
      </c>
      <c r="E195" s="60" t="s">
        <v>436</v>
      </c>
      <c r="F195" s="46"/>
      <c r="G195" s="48"/>
      <c r="H195" s="50"/>
      <c r="I195" s="73"/>
      <c r="J195" s="47"/>
      <c r="K195" s="47"/>
      <c r="L195" s="47"/>
      <c r="M195" s="47"/>
      <c r="N195" s="76"/>
    </row>
    <row r="196" spans="1:14" ht="15" customHeight="1">
      <c r="B196" s="41" t="s">
        <v>488</v>
      </c>
      <c r="C196" s="41" t="s">
        <v>437</v>
      </c>
      <c r="D196" s="41" t="s">
        <v>420</v>
      </c>
      <c r="E196" s="59" t="s">
        <v>438</v>
      </c>
      <c r="F196" s="41" t="s">
        <v>439</v>
      </c>
      <c r="G196" s="51"/>
      <c r="J196" s="49"/>
      <c r="K196" s="49"/>
      <c r="L196" s="49"/>
      <c r="M196" s="49"/>
    </row>
    <row r="197" spans="1:14" ht="15" customHeight="1">
      <c r="B197" s="41" t="s">
        <v>488</v>
      </c>
      <c r="C197" s="41" t="s">
        <v>440</v>
      </c>
      <c r="D197" s="41" t="s">
        <v>420</v>
      </c>
      <c r="E197" s="59" t="s">
        <v>441</v>
      </c>
      <c r="F197" s="41" t="s">
        <v>127</v>
      </c>
      <c r="G197" s="51"/>
      <c r="J197" s="49"/>
      <c r="K197" s="49"/>
      <c r="L197" s="49"/>
      <c r="M197" s="49"/>
    </row>
    <row r="198" spans="1:14" ht="15" customHeight="1">
      <c r="B198" s="41" t="s">
        <v>488</v>
      </c>
      <c r="C198" s="41" t="s">
        <v>442</v>
      </c>
      <c r="D198" s="41" t="s">
        <v>420</v>
      </c>
      <c r="E198" s="59" t="s">
        <v>443</v>
      </c>
      <c r="F198" s="41" t="s">
        <v>127</v>
      </c>
      <c r="G198" s="51"/>
      <c r="J198" s="49"/>
      <c r="K198" s="49"/>
      <c r="L198" s="49"/>
      <c r="M198" s="49"/>
    </row>
    <row r="199" spans="1:14" ht="15" customHeight="1">
      <c r="A199" s="46"/>
      <c r="B199" s="46"/>
      <c r="C199" s="46" t="s">
        <v>444</v>
      </c>
      <c r="D199" s="46" t="s">
        <v>420</v>
      </c>
      <c r="E199" s="60" t="s">
        <v>445</v>
      </c>
      <c r="F199" s="46"/>
      <c r="G199" s="48"/>
      <c r="H199" s="50"/>
      <c r="I199" s="73"/>
      <c r="J199" s="47"/>
      <c r="K199" s="47"/>
      <c r="L199" s="47"/>
      <c r="M199" s="47"/>
      <c r="N199" s="76"/>
    </row>
    <row r="200" spans="1:14" ht="15" customHeight="1">
      <c r="B200" s="41" t="s">
        <v>488</v>
      </c>
      <c r="C200" s="41" t="s">
        <v>446</v>
      </c>
      <c r="D200" s="41" t="s">
        <v>420</v>
      </c>
      <c r="E200" s="59" t="s">
        <v>447</v>
      </c>
      <c r="F200" s="41" t="s">
        <v>127</v>
      </c>
      <c r="G200" s="51"/>
      <c r="J200" s="49"/>
      <c r="K200" s="49"/>
      <c r="L200" s="49"/>
      <c r="M200" s="49"/>
    </row>
    <row r="201" spans="1:14" ht="15" customHeight="1">
      <c r="B201" s="41" t="s">
        <v>488</v>
      </c>
      <c r="C201" s="41" t="s">
        <v>448</v>
      </c>
      <c r="D201" s="41" t="s">
        <v>420</v>
      </c>
      <c r="E201" s="59" t="s">
        <v>449</v>
      </c>
      <c r="F201" s="41" t="s">
        <v>127</v>
      </c>
      <c r="G201" s="51"/>
      <c r="J201" s="49"/>
      <c r="K201" s="49"/>
      <c r="L201" s="49"/>
      <c r="M201" s="49"/>
    </row>
    <row r="202" spans="1:14" ht="15" customHeight="1">
      <c r="B202" s="41" t="s">
        <v>488</v>
      </c>
      <c r="C202" s="41" t="s">
        <v>450</v>
      </c>
      <c r="D202" s="41" t="s">
        <v>420</v>
      </c>
      <c r="E202" s="59" t="s">
        <v>451</v>
      </c>
      <c r="F202" s="41" t="s">
        <v>127</v>
      </c>
      <c r="G202" s="51"/>
      <c r="J202" s="49"/>
      <c r="K202" s="49"/>
      <c r="L202" s="49"/>
      <c r="M202" s="49"/>
    </row>
    <row r="203" spans="1:14" ht="15" customHeight="1">
      <c r="A203" s="46"/>
      <c r="B203" s="46"/>
      <c r="C203" s="46" t="s">
        <v>452</v>
      </c>
      <c r="D203" s="46" t="s">
        <v>420</v>
      </c>
      <c r="E203" s="60" t="s">
        <v>453</v>
      </c>
      <c r="F203" s="46"/>
      <c r="G203" s="48"/>
      <c r="H203" s="50"/>
      <c r="I203" s="73"/>
      <c r="J203" s="47"/>
      <c r="K203" s="47"/>
      <c r="L203" s="47"/>
      <c r="M203" s="47"/>
      <c r="N203" s="76"/>
    </row>
    <row r="204" spans="1:14" ht="15" customHeight="1">
      <c r="B204" s="41" t="s">
        <v>488</v>
      </c>
      <c r="C204" s="41" t="s">
        <v>454</v>
      </c>
      <c r="D204" s="41" t="s">
        <v>420</v>
      </c>
      <c r="E204" s="59" t="s">
        <v>455</v>
      </c>
      <c r="F204" s="41" t="s">
        <v>127</v>
      </c>
      <c r="G204" s="51"/>
      <c r="J204" s="49"/>
      <c r="K204" s="49"/>
      <c r="L204" s="49"/>
      <c r="M204" s="49"/>
    </row>
    <row r="205" spans="1:14" ht="15" customHeight="1">
      <c r="A205" s="46"/>
      <c r="B205" s="46"/>
      <c r="C205" s="46" t="s">
        <v>456</v>
      </c>
      <c r="D205" s="46" t="s">
        <v>420</v>
      </c>
      <c r="E205" s="60" t="s">
        <v>457</v>
      </c>
      <c r="F205" s="46"/>
      <c r="G205" s="48"/>
      <c r="H205" s="50"/>
      <c r="I205" s="73"/>
      <c r="J205" s="47"/>
      <c r="K205" s="47"/>
      <c r="L205" s="47"/>
      <c r="M205" s="47"/>
      <c r="N205" s="76"/>
    </row>
    <row r="206" spans="1:14" ht="15" customHeight="1">
      <c r="B206" s="41" t="s">
        <v>488</v>
      </c>
      <c r="C206" s="41" t="s">
        <v>458</v>
      </c>
      <c r="D206" s="41" t="s">
        <v>420</v>
      </c>
      <c r="E206" s="59" t="s">
        <v>459</v>
      </c>
      <c r="F206" s="41" t="s">
        <v>44</v>
      </c>
      <c r="G206" s="51"/>
      <c r="J206" s="49"/>
      <c r="K206" s="49"/>
      <c r="L206" s="49"/>
      <c r="M206" s="49"/>
    </row>
    <row r="207" spans="1:14" ht="15" customHeight="1">
      <c r="B207" s="41" t="s">
        <v>488</v>
      </c>
      <c r="C207" s="41" t="s">
        <v>460</v>
      </c>
      <c r="D207" s="41" t="s">
        <v>420</v>
      </c>
      <c r="E207" s="59" t="s">
        <v>461</v>
      </c>
      <c r="F207" s="41" t="s">
        <v>44</v>
      </c>
      <c r="G207" s="51"/>
      <c r="J207" s="49"/>
      <c r="K207" s="49"/>
      <c r="L207" s="49"/>
      <c r="M207" s="49"/>
    </row>
    <row r="208" spans="1:14" ht="15" customHeight="1">
      <c r="B208" s="41" t="s">
        <v>488</v>
      </c>
      <c r="C208" s="41" t="s">
        <v>462</v>
      </c>
      <c r="D208" s="41" t="s">
        <v>420</v>
      </c>
      <c r="E208" s="59" t="s">
        <v>463</v>
      </c>
      <c r="F208" s="41" t="s">
        <v>44</v>
      </c>
      <c r="G208" s="51"/>
      <c r="J208" s="49"/>
      <c r="K208" s="49"/>
      <c r="L208" s="49"/>
      <c r="M208" s="49"/>
    </row>
    <row r="209" spans="2:13" ht="15" customHeight="1">
      <c r="B209" s="41" t="s">
        <v>488</v>
      </c>
      <c r="C209" s="41" t="s">
        <v>464</v>
      </c>
      <c r="D209" s="41" t="s">
        <v>420</v>
      </c>
      <c r="E209" s="59" t="s">
        <v>465</v>
      </c>
      <c r="F209" s="41" t="s">
        <v>44</v>
      </c>
      <c r="G209" s="51"/>
      <c r="J209" s="49"/>
      <c r="K209" s="49"/>
      <c r="L209" s="49"/>
      <c r="M209" s="49"/>
    </row>
    <row r="210" spans="2:13" ht="15" customHeight="1">
      <c r="B210" s="41" t="s">
        <v>488</v>
      </c>
      <c r="C210" s="41" t="s">
        <v>466</v>
      </c>
      <c r="D210" s="41" t="s">
        <v>420</v>
      </c>
      <c r="E210" s="59" t="s">
        <v>467</v>
      </c>
      <c r="F210" s="41" t="s">
        <v>44</v>
      </c>
      <c r="G210" s="51"/>
      <c r="J210" s="49"/>
      <c r="K210" s="49"/>
      <c r="L210" s="49"/>
      <c r="M210" s="49"/>
    </row>
    <row r="212" spans="2:13">
      <c r="I212" s="74">
        <f>I2+I3+I39+I83</f>
        <v>1884367.0000000002</v>
      </c>
      <c r="J212" s="85">
        <f>I212/I214</f>
        <v>0.71832832875952013</v>
      </c>
    </row>
    <row r="213" spans="2:13">
      <c r="I213" s="74">
        <f>I187+I165+I141+I120</f>
        <v>738900</v>
      </c>
      <c r="J213" s="85">
        <f>I213/I214</f>
        <v>0.28167167124047993</v>
      </c>
    </row>
    <row r="214" spans="2:13">
      <c r="I214" s="74">
        <f>I213+I212</f>
        <v>2623267</v>
      </c>
    </row>
  </sheetData>
  <autoFilter ref="A1:N210" xr:uid="{C111B037-9840-4DD3-BCBC-3B42C6714E97}"/>
  <conditionalFormatting sqref="C80:C82">
    <cfRule type="duplicateValues" dxfId="11" priority="4"/>
  </conditionalFormatting>
  <conditionalFormatting sqref="C76:C78">
    <cfRule type="duplicateValues" dxfId="10" priority="3"/>
  </conditionalFormatting>
  <conditionalFormatting sqref="A80:A82">
    <cfRule type="duplicateValues" dxfId="9" priority="2"/>
  </conditionalFormatting>
  <conditionalFormatting sqref="A76:A78">
    <cfRule type="duplicateValues" dxfId="8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I1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F9CF-26C2-4DEC-820E-863F499EA59C}">
  <dimension ref="B1:V32"/>
  <sheetViews>
    <sheetView zoomScale="145" zoomScaleNormal="145" workbookViewId="0">
      <selection activeCell="F18" sqref="F18"/>
    </sheetView>
  </sheetViews>
  <sheetFormatPr defaultRowHeight="14.25"/>
  <cols>
    <col min="1" max="1" width="13.140625" style="63" customWidth="1"/>
    <col min="2" max="2" width="41.85546875" style="68" customWidth="1"/>
    <col min="3" max="3" width="15.28515625" style="68" customWidth="1"/>
    <col min="4" max="4" width="15.7109375" style="63" customWidth="1"/>
    <col min="5" max="5" width="10.140625" style="63" customWidth="1"/>
    <col min="6" max="6" width="12.140625" style="63" customWidth="1"/>
    <col min="7" max="7" width="12.7109375" style="63" customWidth="1"/>
    <col min="8" max="8" width="14" style="63" bestFit="1" customWidth="1"/>
    <col min="9" max="16384" width="9.140625" style="63"/>
  </cols>
  <sheetData>
    <row r="1" spans="2:22" ht="15.75" thickBot="1">
      <c r="B1" s="64" t="s">
        <v>27</v>
      </c>
      <c r="C1" s="64"/>
      <c r="E1" s="65">
        <v>44408</v>
      </c>
      <c r="F1" s="65">
        <v>44409</v>
      </c>
      <c r="G1" s="65">
        <v>44440</v>
      </c>
      <c r="H1" s="65">
        <v>44470</v>
      </c>
      <c r="I1" s="65">
        <v>44501</v>
      </c>
      <c r="J1" s="65">
        <v>44531</v>
      </c>
      <c r="K1" s="65">
        <v>44562</v>
      </c>
      <c r="L1" s="65">
        <v>44593</v>
      </c>
      <c r="M1" s="65">
        <v>44621</v>
      </c>
      <c r="N1" s="65">
        <v>44652</v>
      </c>
      <c r="O1" s="65">
        <v>44682</v>
      </c>
      <c r="P1" s="65">
        <v>44713</v>
      </c>
      <c r="Q1" s="65">
        <v>44743</v>
      </c>
      <c r="R1" s="65">
        <v>44774</v>
      </c>
      <c r="S1" s="65">
        <v>44805</v>
      </c>
      <c r="T1" s="65">
        <v>44835</v>
      </c>
      <c r="U1" s="65">
        <v>44866</v>
      </c>
      <c r="V1" s="65">
        <v>44896</v>
      </c>
    </row>
    <row r="2" spans="2:22" ht="15" thickBot="1">
      <c r="B2" s="69" t="s">
        <v>420</v>
      </c>
      <c r="C2" s="65">
        <v>44408</v>
      </c>
      <c r="E2" s="66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2:22" ht="15" thickBot="1">
      <c r="B3" s="69" t="s">
        <v>291</v>
      </c>
      <c r="C3" s="65">
        <v>44408</v>
      </c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2:22" ht="15" thickBot="1">
      <c r="B4" s="69" t="s">
        <v>28</v>
      </c>
      <c r="C4" s="65">
        <v>44409</v>
      </c>
      <c r="E4" s="67"/>
      <c r="F4" s="66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2:22" ht="15" thickBot="1">
      <c r="B5" s="69" t="s">
        <v>500</v>
      </c>
      <c r="C5" s="65">
        <v>44466</v>
      </c>
      <c r="E5" s="67"/>
      <c r="Q5" s="67"/>
      <c r="R5" s="67"/>
      <c r="S5" s="67"/>
      <c r="T5" s="67"/>
      <c r="U5" s="67"/>
      <c r="V5" s="67"/>
    </row>
    <row r="6" spans="2:22" ht="15" thickBot="1">
      <c r="B6" s="69" t="s">
        <v>499</v>
      </c>
      <c r="C6" s="65">
        <v>44575</v>
      </c>
      <c r="E6" s="67"/>
      <c r="Q6" s="67"/>
      <c r="R6" s="67"/>
      <c r="S6" s="67"/>
      <c r="T6" s="67"/>
      <c r="U6" s="67"/>
      <c r="V6" s="67"/>
    </row>
    <row r="7" spans="2:22" ht="15" thickBot="1">
      <c r="B7" s="69" t="s">
        <v>495</v>
      </c>
      <c r="C7" s="65">
        <v>44630</v>
      </c>
      <c r="E7" s="67"/>
      <c r="Q7" s="67"/>
      <c r="R7" s="67"/>
      <c r="S7" s="67"/>
      <c r="T7" s="67"/>
      <c r="U7" s="67"/>
      <c r="V7" s="67"/>
    </row>
    <row r="8" spans="2:22" ht="15" thickBot="1">
      <c r="B8" s="69" t="s">
        <v>496</v>
      </c>
      <c r="C8" s="65">
        <v>44672</v>
      </c>
      <c r="E8" s="67"/>
      <c r="Q8" s="67"/>
      <c r="R8" s="67"/>
      <c r="S8" s="67"/>
      <c r="T8" s="67"/>
      <c r="U8" s="67"/>
      <c r="V8" s="67"/>
    </row>
    <row r="9" spans="2:22" ht="15" thickBot="1">
      <c r="B9" s="69" t="s">
        <v>497</v>
      </c>
      <c r="C9" s="65">
        <v>44580</v>
      </c>
      <c r="E9" s="67"/>
      <c r="Q9" s="67"/>
      <c r="R9" s="67"/>
      <c r="S9" s="67"/>
      <c r="T9" s="67"/>
      <c r="U9" s="67"/>
      <c r="V9" s="67"/>
    </row>
    <row r="10" spans="2:22" ht="15" thickBot="1">
      <c r="B10" s="69" t="s">
        <v>498</v>
      </c>
      <c r="C10" s="65">
        <v>44445</v>
      </c>
      <c r="E10" s="67"/>
      <c r="Q10" s="67"/>
      <c r="R10" s="67"/>
      <c r="S10" s="67"/>
      <c r="T10" s="67"/>
      <c r="U10" s="67"/>
      <c r="V10" s="67"/>
    </row>
    <row r="11" spans="2:22" ht="15">
      <c r="B11" s="70" t="s">
        <v>47</v>
      </c>
      <c r="C11"/>
      <c r="E11" s="67"/>
      <c r="F11" s="80">
        <f>11000/2</f>
        <v>5500</v>
      </c>
      <c r="G11" s="80">
        <v>5500</v>
      </c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67"/>
      <c r="S11" s="67"/>
      <c r="T11" s="67"/>
      <c r="U11" s="67"/>
      <c r="V11" s="67"/>
    </row>
    <row r="12" spans="2:22" ht="15">
      <c r="B12" s="70" t="s">
        <v>502</v>
      </c>
      <c r="C12"/>
      <c r="E12" s="67"/>
      <c r="F12" s="81"/>
      <c r="G12" s="81"/>
      <c r="H12" s="83">
        <f>12000/4</f>
        <v>3000</v>
      </c>
      <c r="I12" s="83">
        <v>3000</v>
      </c>
      <c r="J12" s="83">
        <v>3000</v>
      </c>
      <c r="K12" s="83">
        <v>3000</v>
      </c>
      <c r="L12" s="81"/>
      <c r="M12" s="81"/>
      <c r="N12" s="81"/>
      <c r="O12" s="81"/>
      <c r="P12" s="81"/>
      <c r="Q12" s="82"/>
      <c r="R12" s="67"/>
      <c r="S12" s="67"/>
      <c r="T12" s="67"/>
      <c r="U12" s="67"/>
      <c r="V12" s="67"/>
    </row>
    <row r="13" spans="2:22" ht="15">
      <c r="B13" s="70" t="s">
        <v>501</v>
      </c>
      <c r="C13"/>
      <c r="E13" s="67"/>
      <c r="F13" s="81"/>
      <c r="G13" s="83">
        <v>1500</v>
      </c>
      <c r="H13" s="83">
        <v>1500</v>
      </c>
      <c r="I13" s="83">
        <v>1500</v>
      </c>
      <c r="J13" s="83">
        <v>1500</v>
      </c>
      <c r="K13" s="83">
        <v>1500</v>
      </c>
      <c r="L13" s="83">
        <v>1500</v>
      </c>
      <c r="M13" s="81"/>
      <c r="N13" s="81"/>
      <c r="O13" s="81"/>
      <c r="P13" s="81"/>
      <c r="Q13" s="82"/>
      <c r="R13" s="67"/>
      <c r="S13" s="67"/>
      <c r="T13" s="67"/>
      <c r="U13" s="67"/>
      <c r="V13" s="67"/>
    </row>
    <row r="14" spans="2:22" ht="15">
      <c r="B14" s="70" t="s">
        <v>86</v>
      </c>
      <c r="C14"/>
      <c r="E14" s="67"/>
      <c r="F14" s="81"/>
      <c r="G14" s="81"/>
      <c r="H14" s="81"/>
      <c r="I14" s="81"/>
      <c r="J14" s="81"/>
      <c r="K14" s="81"/>
      <c r="L14" s="81"/>
      <c r="M14" s="83">
        <v>500</v>
      </c>
      <c r="N14" s="83">
        <v>500</v>
      </c>
      <c r="O14" s="81"/>
      <c r="P14" s="81"/>
      <c r="Q14" s="82"/>
      <c r="R14" s="67"/>
      <c r="S14" s="67"/>
      <c r="T14" s="67"/>
      <c r="U14" s="67"/>
      <c r="V14" s="67"/>
    </row>
    <row r="15" spans="2:22" ht="15">
      <c r="B15" s="70" t="s">
        <v>91</v>
      </c>
      <c r="C15"/>
      <c r="E15" s="67"/>
      <c r="F15" s="81"/>
      <c r="G15" s="81"/>
      <c r="H15" s="83">
        <v>300</v>
      </c>
      <c r="I15" s="83">
        <v>300</v>
      </c>
      <c r="J15" s="81"/>
      <c r="K15" s="81"/>
      <c r="L15" s="81"/>
      <c r="M15" s="81"/>
      <c r="N15" s="81"/>
      <c r="O15" s="81"/>
      <c r="P15" s="81"/>
      <c r="Q15" s="82"/>
      <c r="R15" s="67"/>
      <c r="S15" s="67"/>
      <c r="T15" s="67"/>
      <c r="U15" s="67"/>
      <c r="V15" s="67"/>
    </row>
    <row r="16" spans="2:22" ht="15">
      <c r="B16" s="70" t="s">
        <v>98</v>
      </c>
      <c r="C16"/>
      <c r="E16" s="67"/>
      <c r="F16" s="83">
        <v>150</v>
      </c>
      <c r="G16" s="83">
        <v>150</v>
      </c>
      <c r="H16" s="83">
        <v>150</v>
      </c>
      <c r="I16" s="83">
        <v>150</v>
      </c>
      <c r="J16" s="81"/>
      <c r="K16" s="81"/>
      <c r="L16" s="81"/>
      <c r="M16" s="81"/>
      <c r="N16" s="81"/>
      <c r="O16" s="81"/>
      <c r="P16" s="81"/>
      <c r="Q16" s="82"/>
      <c r="R16" s="67"/>
      <c r="S16" s="67"/>
      <c r="T16" s="67"/>
      <c r="U16" s="67"/>
      <c r="V16" s="67"/>
    </row>
    <row r="17" spans="2:22" ht="15">
      <c r="B17" s="70" t="s">
        <v>204</v>
      </c>
      <c r="C17"/>
      <c r="E17" s="67"/>
      <c r="F17" s="81"/>
      <c r="G17" s="81"/>
      <c r="H17" s="83">
        <v>100</v>
      </c>
      <c r="I17" s="83">
        <v>100</v>
      </c>
      <c r="J17" s="83">
        <v>100</v>
      </c>
      <c r="K17" s="81"/>
      <c r="L17" s="81"/>
      <c r="M17" s="81"/>
      <c r="N17" s="81"/>
      <c r="O17" s="81"/>
      <c r="P17" s="81"/>
      <c r="Q17" s="82"/>
      <c r="R17" s="67"/>
      <c r="S17" s="67"/>
      <c r="T17" s="67"/>
      <c r="U17" s="67"/>
      <c r="V17" s="67"/>
    </row>
    <row r="18" spans="2:22" ht="15.75" thickBot="1">
      <c r="B18" s="69" t="s">
        <v>507</v>
      </c>
      <c r="C18"/>
      <c r="E18" s="67"/>
      <c r="F18" s="81">
        <f>SUM(F11:F17)</f>
        <v>5650</v>
      </c>
      <c r="G18" s="81">
        <f t="shared" ref="G18:P18" si="0">SUM(G11:G17)</f>
        <v>7150</v>
      </c>
      <c r="H18" s="81">
        <f t="shared" si="0"/>
        <v>5050</v>
      </c>
      <c r="I18" s="81">
        <f t="shared" si="0"/>
        <v>5050</v>
      </c>
      <c r="J18" s="81">
        <f t="shared" si="0"/>
        <v>4600</v>
      </c>
      <c r="K18" s="81">
        <f t="shared" si="0"/>
        <v>4500</v>
      </c>
      <c r="L18" s="81">
        <f t="shared" si="0"/>
        <v>1500</v>
      </c>
      <c r="M18" s="81">
        <f t="shared" si="0"/>
        <v>500</v>
      </c>
      <c r="N18" s="81">
        <f t="shared" si="0"/>
        <v>500</v>
      </c>
      <c r="O18" s="81">
        <f t="shared" si="0"/>
        <v>0</v>
      </c>
      <c r="P18" s="81">
        <f t="shared" si="0"/>
        <v>0</v>
      </c>
      <c r="Q18" s="82"/>
      <c r="R18" s="67"/>
      <c r="S18" s="67"/>
      <c r="T18" s="67"/>
      <c r="U18" s="67"/>
      <c r="V18" s="67"/>
    </row>
    <row r="19" spans="2:22" ht="15" thickBot="1">
      <c r="B19" s="69" t="s">
        <v>31</v>
      </c>
      <c r="C19" s="65">
        <v>44713</v>
      </c>
      <c r="E19" s="67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/>
      <c r="Q19" s="82"/>
      <c r="R19" s="67"/>
      <c r="S19" s="67"/>
      <c r="T19" s="67"/>
      <c r="U19" s="67"/>
      <c r="V19" s="67"/>
    </row>
    <row r="20" spans="2:22" ht="15" thickBot="1">
      <c r="B20" s="69" t="s">
        <v>29</v>
      </c>
      <c r="C20" s="65">
        <v>44743</v>
      </c>
      <c r="E20" s="67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4"/>
      <c r="R20" s="67"/>
      <c r="S20" s="67"/>
      <c r="T20" s="67"/>
      <c r="U20" s="67"/>
      <c r="V20" s="67"/>
    </row>
    <row r="21" spans="2:22" ht="15" thickBot="1">
      <c r="B21" s="69" t="s">
        <v>30</v>
      </c>
      <c r="C21" s="65">
        <v>44743</v>
      </c>
      <c r="E21" s="6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4"/>
      <c r="R21" s="67"/>
      <c r="S21" s="67"/>
      <c r="T21" s="67"/>
      <c r="U21" s="67"/>
      <c r="V21" s="67"/>
    </row>
    <row r="25" spans="2:22">
      <c r="B25" s="63"/>
    </row>
    <row r="26" spans="2:22">
      <c r="B26" s="63"/>
    </row>
    <row r="27" spans="2:22">
      <c r="B27" s="63"/>
    </row>
    <row r="28" spans="2:22">
      <c r="B28" s="63"/>
    </row>
    <row r="29" spans="2:22">
      <c r="B29" s="63"/>
    </row>
    <row r="30" spans="2:22">
      <c r="B30" s="63"/>
    </row>
    <row r="31" spans="2:22">
      <c r="B31" s="63"/>
    </row>
    <row r="32" spans="2:22">
      <c r="B32" s="63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93006-6F28-4D21-9D8C-B13B93C91396}">
  <dimension ref="B1:AG56"/>
  <sheetViews>
    <sheetView showGridLines="0" topLeftCell="A22" zoomScale="85" zoomScaleNormal="85" workbookViewId="0">
      <selection activeCell="A52" sqref="A52:XFD52"/>
    </sheetView>
  </sheetViews>
  <sheetFormatPr defaultRowHeight="15"/>
  <cols>
    <col min="2" max="2" width="9.140625" style="13"/>
    <col min="3" max="3" width="36.140625" style="21" customWidth="1"/>
    <col min="4" max="4" width="10.7109375" style="28" customWidth="1"/>
    <col min="5" max="21" width="10.7109375" style="13" customWidth="1"/>
    <col min="22" max="22" width="2.140625" style="13" customWidth="1"/>
    <col min="23" max="23" width="23.42578125" style="13" customWidth="1"/>
    <col min="24" max="24" width="13.5703125" style="34" customWidth="1"/>
    <col min="25" max="25" width="14.42578125" bestFit="1" customWidth="1"/>
  </cols>
  <sheetData>
    <row r="1" spans="2:24">
      <c r="C1" s="22" t="s">
        <v>22</v>
      </c>
    </row>
    <row r="2" spans="2:24">
      <c r="C2" s="22"/>
    </row>
    <row r="3" spans="2:24">
      <c r="C3" s="23" t="s">
        <v>23</v>
      </c>
      <c r="D3" s="15">
        <v>44378</v>
      </c>
      <c r="E3" s="17"/>
    </row>
    <row r="4" spans="2:24">
      <c r="C4" s="24"/>
      <c r="D4" s="17"/>
      <c r="E4" s="17"/>
    </row>
    <row r="5" spans="2:24" ht="15.75" thickBot="1"/>
    <row r="6" spans="2:24" s="12" customFormat="1" ht="15.75" thickBot="1">
      <c r="B6" s="14"/>
      <c r="C6" s="21"/>
      <c r="D6" s="16">
        <v>44378</v>
      </c>
      <c r="E6" s="16">
        <v>44409</v>
      </c>
      <c r="F6" s="16">
        <v>44440</v>
      </c>
      <c r="G6" s="16">
        <v>44470</v>
      </c>
      <c r="H6" s="16">
        <v>44501</v>
      </c>
      <c r="I6" s="16">
        <v>44531</v>
      </c>
      <c r="J6" s="16">
        <v>44562</v>
      </c>
      <c r="K6" s="16">
        <v>44593</v>
      </c>
      <c r="L6" s="16">
        <v>44621</v>
      </c>
      <c r="M6" s="16">
        <v>44652</v>
      </c>
      <c r="N6" s="16">
        <v>44682</v>
      </c>
      <c r="O6" s="16">
        <v>44713</v>
      </c>
      <c r="P6" s="16">
        <v>44743</v>
      </c>
      <c r="Q6" s="16">
        <v>44774</v>
      </c>
      <c r="R6" s="16">
        <v>44805</v>
      </c>
      <c r="S6" s="16">
        <v>44835</v>
      </c>
      <c r="T6" s="16">
        <v>44866</v>
      </c>
      <c r="U6" s="16">
        <v>44896</v>
      </c>
      <c r="V6" s="14"/>
      <c r="W6" s="16" t="s">
        <v>21</v>
      </c>
      <c r="X6" s="35"/>
    </row>
    <row r="7" spans="2:24" ht="24.95" customHeight="1" thickBot="1">
      <c r="C7" s="25" t="s">
        <v>475</v>
      </c>
      <c r="D7" s="18">
        <f t="shared" ref="D7:E7" si="0">D38</f>
        <v>0</v>
      </c>
      <c r="E7" s="18">
        <f t="shared" si="0"/>
        <v>200000</v>
      </c>
      <c r="F7" s="18">
        <f t="shared" ref="F7:U7" si="1">F38</f>
        <v>200000</v>
      </c>
      <c r="G7" s="18">
        <f t="shared" si="1"/>
        <v>400000</v>
      </c>
      <c r="H7" s="18">
        <f t="shared" si="1"/>
        <v>600000</v>
      </c>
      <c r="I7" s="18">
        <f t="shared" si="1"/>
        <v>600000</v>
      </c>
      <c r="J7" s="18">
        <f t="shared" si="1"/>
        <v>400000</v>
      </c>
      <c r="K7" s="18">
        <f t="shared" si="1"/>
        <v>200000</v>
      </c>
      <c r="L7" s="18">
        <f t="shared" si="1"/>
        <v>200000</v>
      </c>
      <c r="M7" s="18">
        <f t="shared" si="1"/>
        <v>200000</v>
      </c>
      <c r="N7" s="18">
        <f t="shared" si="1"/>
        <v>200000</v>
      </c>
      <c r="O7" s="18">
        <f t="shared" si="1"/>
        <v>0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9"/>
      <c r="W7" s="18">
        <f>SUM(D7:U7)</f>
        <v>3200000</v>
      </c>
    </row>
    <row r="8" spans="2:24" ht="24.95" customHeight="1" thickBot="1">
      <c r="C8" s="25" t="s">
        <v>476</v>
      </c>
      <c r="D8" s="18">
        <f t="shared" ref="D8:U8" si="2">D45</f>
        <v>125800</v>
      </c>
      <c r="E8" s="18">
        <f t="shared" si="2"/>
        <v>175707.01536111027</v>
      </c>
      <c r="F8" s="18">
        <f t="shared" si="2"/>
        <v>351398.53103390604</v>
      </c>
      <c r="G8" s="18">
        <f t="shared" si="2"/>
        <v>429908.36032028066</v>
      </c>
      <c r="H8" s="18">
        <f t="shared" si="2"/>
        <v>338946.38629607751</v>
      </c>
      <c r="I8" s="18">
        <f t="shared" si="2"/>
        <v>262395.37730526028</v>
      </c>
      <c r="J8" s="18">
        <f t="shared" si="2"/>
        <v>243727.47441566386</v>
      </c>
      <c r="K8" s="18">
        <f t="shared" si="2"/>
        <v>189219.93412906834</v>
      </c>
      <c r="L8" s="18">
        <f t="shared" si="2"/>
        <v>219517.57040428068</v>
      </c>
      <c r="M8" s="18">
        <f t="shared" si="2"/>
        <v>142374.2651866792</v>
      </c>
      <c r="N8" s="18">
        <f t="shared" si="2"/>
        <v>87524.185547673347</v>
      </c>
      <c r="O8" s="18">
        <f t="shared" si="2"/>
        <v>48347.9</v>
      </c>
      <c r="P8" s="18">
        <f t="shared" si="2"/>
        <v>8400</v>
      </c>
      <c r="Q8" s="18">
        <f t="shared" si="2"/>
        <v>0</v>
      </c>
      <c r="R8" s="18">
        <f t="shared" si="2"/>
        <v>0</v>
      </c>
      <c r="S8" s="18">
        <f t="shared" si="2"/>
        <v>0</v>
      </c>
      <c r="T8" s="18">
        <f t="shared" si="2"/>
        <v>0</v>
      </c>
      <c r="U8" s="18">
        <f t="shared" si="2"/>
        <v>0</v>
      </c>
      <c r="V8" s="19"/>
      <c r="W8" s="18">
        <f>SUM(D8:U8)</f>
        <v>2623267</v>
      </c>
    </row>
    <row r="9" spans="2:24" ht="24.95" customHeight="1" thickBot="1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2:24" ht="24.95" customHeight="1" thickBot="1">
      <c r="C10" s="26" t="s">
        <v>473</v>
      </c>
      <c r="D10" s="20">
        <f>D7-D8</f>
        <v>-125800</v>
      </c>
      <c r="E10" s="20">
        <f t="shared" ref="E10" si="3">E7-E8</f>
        <v>24292.984638889728</v>
      </c>
      <c r="F10" s="20">
        <f t="shared" ref="F10:U10" si="4">F7-F8</f>
        <v>-151398.53103390604</v>
      </c>
      <c r="G10" s="20">
        <f t="shared" si="4"/>
        <v>-29908.360320280655</v>
      </c>
      <c r="H10" s="20">
        <f t="shared" si="4"/>
        <v>261053.61370392249</v>
      </c>
      <c r="I10" s="20">
        <f t="shared" si="4"/>
        <v>337604.62269473972</v>
      </c>
      <c r="J10" s="20">
        <f t="shared" si="4"/>
        <v>156272.52558433614</v>
      </c>
      <c r="K10" s="20">
        <f t="shared" si="4"/>
        <v>10780.065870931663</v>
      </c>
      <c r="L10" s="20">
        <f t="shared" si="4"/>
        <v>-19517.570404280676</v>
      </c>
      <c r="M10" s="20">
        <f t="shared" si="4"/>
        <v>57625.7348133208</v>
      </c>
      <c r="N10" s="20">
        <f t="shared" si="4"/>
        <v>112475.81445232665</v>
      </c>
      <c r="O10" s="20">
        <f t="shared" si="4"/>
        <v>-48347.9</v>
      </c>
      <c r="P10" s="20">
        <f t="shared" si="4"/>
        <v>-8400</v>
      </c>
      <c r="Q10" s="20">
        <f t="shared" si="4"/>
        <v>0</v>
      </c>
      <c r="R10" s="20">
        <f t="shared" si="4"/>
        <v>0</v>
      </c>
      <c r="S10" s="20">
        <f t="shared" si="4"/>
        <v>0</v>
      </c>
      <c r="T10" s="20">
        <f t="shared" si="4"/>
        <v>0</v>
      </c>
      <c r="U10" s="20">
        <f t="shared" si="4"/>
        <v>0</v>
      </c>
      <c r="V10" s="19"/>
      <c r="W10" s="20">
        <f>SUM(D10:U10)</f>
        <v>576732.99999999977</v>
      </c>
    </row>
    <row r="11" spans="2:24" ht="24.95" customHeight="1" thickBot="1">
      <c r="C11" s="26" t="s">
        <v>474</v>
      </c>
      <c r="D11" s="20">
        <f>D10</f>
        <v>-125800</v>
      </c>
      <c r="E11" s="20">
        <f>+E10+D11</f>
        <v>-101507.01536111027</v>
      </c>
      <c r="F11" s="20">
        <f t="shared" ref="F11:U11" si="5">+F10+E11</f>
        <v>-252905.54639501631</v>
      </c>
      <c r="G11" s="20">
        <f t="shared" si="5"/>
        <v>-282813.90671529697</v>
      </c>
      <c r="H11" s="20">
        <f t="shared" si="5"/>
        <v>-21760.293011374481</v>
      </c>
      <c r="I11" s="20">
        <f t="shared" si="5"/>
        <v>315844.32968336524</v>
      </c>
      <c r="J11" s="20">
        <f t="shared" si="5"/>
        <v>472116.85526770138</v>
      </c>
      <c r="K11" s="20">
        <f t="shared" si="5"/>
        <v>482896.92113863304</v>
      </c>
      <c r="L11" s="20">
        <f t="shared" si="5"/>
        <v>463379.35073435237</v>
      </c>
      <c r="M11" s="20">
        <f t="shared" si="5"/>
        <v>521005.08554767317</v>
      </c>
      <c r="N11" s="20">
        <f t="shared" si="5"/>
        <v>633480.89999999979</v>
      </c>
      <c r="O11" s="20">
        <f t="shared" si="5"/>
        <v>585132.99999999977</v>
      </c>
      <c r="P11" s="20">
        <f t="shared" si="5"/>
        <v>576732.99999999977</v>
      </c>
      <c r="Q11" s="20">
        <f t="shared" si="5"/>
        <v>576732.99999999977</v>
      </c>
      <c r="R11" s="20">
        <f t="shared" si="5"/>
        <v>576732.99999999977</v>
      </c>
      <c r="S11" s="20">
        <f t="shared" si="5"/>
        <v>576732.99999999977</v>
      </c>
      <c r="T11" s="20">
        <f t="shared" si="5"/>
        <v>576732.99999999977</v>
      </c>
      <c r="U11" s="20">
        <f t="shared" si="5"/>
        <v>576732.99999999977</v>
      </c>
      <c r="V11" s="19"/>
      <c r="W11"/>
    </row>
    <row r="12" spans="2:24" ht="24.95" customHeight="1">
      <c r="B12"/>
      <c r="C12" s="27"/>
      <c r="D12" s="1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31" spans="31:33">
      <c r="AE31" s="86"/>
      <c r="AG31" s="87"/>
    </row>
    <row r="32" spans="31:33">
      <c r="AE32" s="86"/>
      <c r="AG32" s="87"/>
    </row>
    <row r="33" spans="2:33">
      <c r="AE33" s="86"/>
      <c r="AG33" s="87"/>
    </row>
    <row r="34" spans="2:33">
      <c r="AE34" s="86"/>
      <c r="AG34" s="87"/>
    </row>
    <row r="37" spans="2:33" ht="15.75" thickBot="1"/>
    <row r="38" spans="2:33" ht="24.95" customHeight="1" thickBot="1">
      <c r="C38" s="25" t="s">
        <v>19</v>
      </c>
      <c r="D38" s="18">
        <v>0</v>
      </c>
      <c r="E38" s="18">
        <f>E39*E40</f>
        <v>200000</v>
      </c>
      <c r="F38" s="18">
        <f t="shared" ref="F38:U38" si="6">F39*F40</f>
        <v>200000</v>
      </c>
      <c r="G38" s="18">
        <f t="shared" si="6"/>
        <v>400000</v>
      </c>
      <c r="H38" s="18">
        <f t="shared" si="6"/>
        <v>600000</v>
      </c>
      <c r="I38" s="18">
        <f t="shared" si="6"/>
        <v>600000</v>
      </c>
      <c r="J38" s="18">
        <f t="shared" si="6"/>
        <v>400000</v>
      </c>
      <c r="K38" s="18">
        <f t="shared" si="6"/>
        <v>200000</v>
      </c>
      <c r="L38" s="18">
        <f t="shared" si="6"/>
        <v>200000</v>
      </c>
      <c r="M38" s="18">
        <f t="shared" si="6"/>
        <v>200000</v>
      </c>
      <c r="N38" s="18">
        <f t="shared" si="6"/>
        <v>200000</v>
      </c>
      <c r="O38" s="18">
        <f t="shared" si="6"/>
        <v>0</v>
      </c>
      <c r="P38" s="18">
        <f t="shared" si="6"/>
        <v>0</v>
      </c>
      <c r="Q38" s="18">
        <f t="shared" si="6"/>
        <v>0</v>
      </c>
      <c r="R38" s="18">
        <f t="shared" si="6"/>
        <v>0</v>
      </c>
      <c r="S38" s="18">
        <f t="shared" si="6"/>
        <v>0</v>
      </c>
      <c r="T38" s="18">
        <f t="shared" si="6"/>
        <v>0</v>
      </c>
      <c r="U38" s="18">
        <f t="shared" si="6"/>
        <v>0</v>
      </c>
      <c r="W38" s="37">
        <f>SUM(D38:U38)</f>
        <v>3200000</v>
      </c>
      <c r="X38" s="36"/>
      <c r="Y38" s="5"/>
    </row>
    <row r="39" spans="2:33" ht="24.95" customHeight="1" thickBot="1">
      <c r="C39" s="29" t="s">
        <v>24</v>
      </c>
      <c r="D39" s="30">
        <v>0</v>
      </c>
      <c r="E39" s="30">
        <v>1</v>
      </c>
      <c r="F39" s="30">
        <v>1</v>
      </c>
      <c r="G39" s="30">
        <v>2</v>
      </c>
      <c r="H39" s="30">
        <v>3</v>
      </c>
      <c r="I39" s="30">
        <v>3</v>
      </c>
      <c r="J39" s="30">
        <v>2</v>
      </c>
      <c r="K39" s="30">
        <v>1</v>
      </c>
      <c r="L39" s="30">
        <v>1</v>
      </c>
      <c r="M39" s="30">
        <v>1</v>
      </c>
      <c r="N39" s="30">
        <v>1</v>
      </c>
      <c r="O39" s="30"/>
      <c r="P39" s="30"/>
      <c r="Q39" s="30"/>
      <c r="R39" s="30"/>
      <c r="S39" s="30"/>
      <c r="T39" s="30"/>
      <c r="U39" s="30"/>
      <c r="W39" s="38">
        <f>SUM(D39:U39)</f>
        <v>16</v>
      </c>
    </row>
    <row r="40" spans="2:33" ht="30" customHeight="1" thickBot="1">
      <c r="C40" s="31" t="s">
        <v>25</v>
      </c>
      <c r="D40" s="32">
        <v>0</v>
      </c>
      <c r="E40" s="32">
        <v>200000</v>
      </c>
      <c r="F40" s="32">
        <v>200000</v>
      </c>
      <c r="G40" s="32">
        <v>200000</v>
      </c>
      <c r="H40" s="32">
        <v>200000</v>
      </c>
      <c r="I40" s="32">
        <v>200000</v>
      </c>
      <c r="J40" s="32">
        <v>200000</v>
      </c>
      <c r="K40" s="32">
        <v>200000</v>
      </c>
      <c r="L40" s="32">
        <v>200000</v>
      </c>
      <c r="M40" s="32">
        <v>200000</v>
      </c>
      <c r="N40" s="32">
        <v>200000</v>
      </c>
      <c r="O40" s="32">
        <v>200000</v>
      </c>
      <c r="P40" s="32">
        <v>200000</v>
      </c>
      <c r="Q40" s="32">
        <v>200000</v>
      </c>
      <c r="R40" s="32">
        <v>200000</v>
      </c>
      <c r="S40" s="32">
        <v>200000</v>
      </c>
      <c r="T40" s="32">
        <v>200000</v>
      </c>
      <c r="U40" s="32">
        <v>200000</v>
      </c>
      <c r="W40" s="39"/>
    </row>
    <row r="41" spans="2:33">
      <c r="W41" s="40"/>
    </row>
    <row r="42" spans="2:33">
      <c r="W42" s="40"/>
    </row>
    <row r="43" spans="2:33" ht="15.75" thickBot="1">
      <c r="W43" s="40"/>
    </row>
    <row r="44" spans="2:33" ht="15.75" thickBot="1">
      <c r="D44" s="16">
        <v>44378</v>
      </c>
      <c r="E44" s="16">
        <v>44409</v>
      </c>
      <c r="F44" s="16">
        <v>44440</v>
      </c>
      <c r="G44" s="16">
        <v>44470</v>
      </c>
      <c r="H44" s="16">
        <v>44501</v>
      </c>
      <c r="I44" s="16">
        <v>44531</v>
      </c>
      <c r="J44" s="16">
        <v>44562</v>
      </c>
      <c r="K44" s="16">
        <v>44593</v>
      </c>
      <c r="L44" s="16">
        <v>44621</v>
      </c>
      <c r="M44" s="16">
        <v>44652</v>
      </c>
      <c r="N44" s="16">
        <v>44682</v>
      </c>
      <c r="O44" s="16">
        <v>44713</v>
      </c>
      <c r="P44" s="16">
        <v>44743</v>
      </c>
      <c r="Q44" s="16">
        <v>44774</v>
      </c>
      <c r="R44" s="16">
        <v>44805</v>
      </c>
      <c r="S44" s="16">
        <v>44835</v>
      </c>
      <c r="T44" s="16">
        <v>44866</v>
      </c>
      <c r="U44" s="16">
        <v>44896</v>
      </c>
      <c r="V44" s="14"/>
      <c r="W44" s="16" t="s">
        <v>21</v>
      </c>
    </row>
    <row r="45" spans="2:33" ht="24.95" customHeight="1" thickBot="1">
      <c r="C45" s="25" t="s">
        <v>20</v>
      </c>
      <c r="D45" s="18">
        <f>D47+D48+D50++D52+D56+D53+D54+D55+D49</f>
        <v>125800</v>
      </c>
      <c r="E45" s="18">
        <f t="shared" ref="E45:U45" si="7">E47+E48+E50++E52+E56+E53+E54+E55+E49</f>
        <v>175707.01536111027</v>
      </c>
      <c r="F45" s="18">
        <f t="shared" si="7"/>
        <v>351398.53103390604</v>
      </c>
      <c r="G45" s="18">
        <f t="shared" si="7"/>
        <v>429908.36032028066</v>
      </c>
      <c r="H45" s="18">
        <f t="shared" si="7"/>
        <v>338946.38629607751</v>
      </c>
      <c r="I45" s="18">
        <f t="shared" si="7"/>
        <v>262395.37730526028</v>
      </c>
      <c r="J45" s="18">
        <f t="shared" si="7"/>
        <v>243727.47441566386</v>
      </c>
      <c r="K45" s="18">
        <f t="shared" si="7"/>
        <v>189219.93412906834</v>
      </c>
      <c r="L45" s="18">
        <f t="shared" si="7"/>
        <v>219517.57040428068</v>
      </c>
      <c r="M45" s="18">
        <f t="shared" si="7"/>
        <v>142374.2651866792</v>
      </c>
      <c r="N45" s="18">
        <f t="shared" si="7"/>
        <v>87524.185547673347</v>
      </c>
      <c r="O45" s="18">
        <f t="shared" si="7"/>
        <v>48347.9</v>
      </c>
      <c r="P45" s="18">
        <f t="shared" si="7"/>
        <v>8400</v>
      </c>
      <c r="Q45" s="18">
        <f t="shared" si="7"/>
        <v>0</v>
      </c>
      <c r="R45" s="18">
        <f t="shared" si="7"/>
        <v>0</v>
      </c>
      <c r="S45" s="18">
        <f t="shared" si="7"/>
        <v>0</v>
      </c>
      <c r="T45" s="18">
        <f t="shared" si="7"/>
        <v>0</v>
      </c>
      <c r="U45" s="18">
        <f t="shared" si="7"/>
        <v>0</v>
      </c>
      <c r="W45" s="37">
        <f>W47+W48+W49+W50+W52+W53+W54+W55+W56</f>
        <v>2623267</v>
      </c>
    </row>
    <row r="46" spans="2:33" ht="9.75" customHeight="1" thickBot="1">
      <c r="C46" s="22"/>
      <c r="W46" s="40"/>
    </row>
    <row r="47" spans="2:33" ht="24.95" customHeight="1" thickBot="1">
      <c r="B47" s="89" t="s">
        <v>487</v>
      </c>
      <c r="C47" s="29" t="s">
        <v>477</v>
      </c>
      <c r="D47" s="32">
        <v>125800</v>
      </c>
      <c r="E47" s="32">
        <v>5000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19"/>
      <c r="W47" s="55">
        <f t="shared" ref="W47:W50" si="8">SUM(D47:U47)</f>
        <v>130800</v>
      </c>
    </row>
    <row r="48" spans="2:33" ht="24.95" customHeight="1" thickBot="1">
      <c r="B48" s="89"/>
      <c r="C48" s="29" t="s">
        <v>478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>
        <v>3600</v>
      </c>
      <c r="P48" s="32">
        <v>7400</v>
      </c>
      <c r="Q48" s="32"/>
      <c r="R48" s="32"/>
      <c r="S48" s="32"/>
      <c r="T48" s="32"/>
      <c r="U48" s="32"/>
      <c r="V48" s="19"/>
      <c r="W48" s="55">
        <f t="shared" si="8"/>
        <v>11000</v>
      </c>
    </row>
    <row r="49" spans="2:24" ht="24.95" customHeight="1" thickBot="1">
      <c r="B49" s="89"/>
      <c r="C49" s="29" t="s">
        <v>491</v>
      </c>
      <c r="D49" s="32"/>
      <c r="E49" s="32">
        <f>97900/11</f>
        <v>8900</v>
      </c>
      <c r="F49" s="32">
        <v>8900</v>
      </c>
      <c r="G49" s="32">
        <v>8900</v>
      </c>
      <c r="H49" s="32">
        <v>8900</v>
      </c>
      <c r="I49" s="32">
        <v>8900</v>
      </c>
      <c r="J49" s="32">
        <v>8900</v>
      </c>
      <c r="K49" s="32">
        <v>8900</v>
      </c>
      <c r="L49" s="32">
        <v>8900</v>
      </c>
      <c r="M49" s="32">
        <v>8900</v>
      </c>
      <c r="N49" s="32">
        <v>8900</v>
      </c>
      <c r="O49" s="32">
        <v>8900</v>
      </c>
      <c r="P49" s="32"/>
      <c r="Q49" s="32"/>
      <c r="R49" s="32"/>
      <c r="S49" s="32"/>
      <c r="T49" s="32"/>
      <c r="U49" s="32"/>
      <c r="V49" s="19"/>
      <c r="W49" s="55">
        <f t="shared" si="8"/>
        <v>97900</v>
      </c>
    </row>
    <row r="50" spans="2:24" ht="24.95" customHeight="1" thickBot="1">
      <c r="B50" s="89"/>
      <c r="C50" s="29" t="s">
        <v>479</v>
      </c>
      <c r="D50" s="56">
        <f t="shared" ref="D50:U50" si="9">$X$50*D39</f>
        <v>0</v>
      </c>
      <c r="E50" s="32">
        <f>$X$50*E39</f>
        <v>31200</v>
      </c>
      <c r="F50" s="32">
        <f t="shared" si="9"/>
        <v>31200</v>
      </c>
      <c r="G50" s="32">
        <f t="shared" si="9"/>
        <v>62400</v>
      </c>
      <c r="H50" s="32">
        <f t="shared" si="9"/>
        <v>93600</v>
      </c>
      <c r="I50" s="32">
        <f t="shared" si="9"/>
        <v>93600</v>
      </c>
      <c r="J50" s="32">
        <f t="shared" si="9"/>
        <v>62400</v>
      </c>
      <c r="K50" s="32">
        <f t="shared" si="9"/>
        <v>31200</v>
      </c>
      <c r="L50" s="32">
        <f t="shared" si="9"/>
        <v>31200</v>
      </c>
      <c r="M50" s="32">
        <f t="shared" si="9"/>
        <v>31200</v>
      </c>
      <c r="N50" s="32">
        <f t="shared" si="9"/>
        <v>31200</v>
      </c>
      <c r="O50" s="32">
        <f t="shared" si="9"/>
        <v>0</v>
      </c>
      <c r="P50" s="32">
        <f t="shared" si="9"/>
        <v>0</v>
      </c>
      <c r="Q50" s="32">
        <f t="shared" si="9"/>
        <v>0</v>
      </c>
      <c r="R50" s="32">
        <f t="shared" si="9"/>
        <v>0</v>
      </c>
      <c r="S50" s="32">
        <f t="shared" si="9"/>
        <v>0</v>
      </c>
      <c r="T50" s="32">
        <f t="shared" si="9"/>
        <v>0</v>
      </c>
      <c r="U50" s="32">
        <f t="shared" si="9"/>
        <v>0</v>
      </c>
      <c r="V50" s="19"/>
      <c r="W50" s="55">
        <f t="shared" si="8"/>
        <v>499200</v>
      </c>
      <c r="X50" s="54">
        <v>31200</v>
      </c>
    </row>
    <row r="51" spans="2:24" ht="15.75" thickBot="1">
      <c r="D51" s="5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58"/>
    </row>
    <row r="52" spans="2:24" ht="24.95" customHeight="1" thickBot="1">
      <c r="B52" s="88" t="s">
        <v>486</v>
      </c>
      <c r="C52" s="29" t="s">
        <v>482</v>
      </c>
      <c r="D52" s="32"/>
      <c r="E52" s="32">
        <v>79987.015361110258</v>
      </c>
      <c r="F52" s="32">
        <v>275678.53103390604</v>
      </c>
      <c r="G52" s="32">
        <v>327088.36032028066</v>
      </c>
      <c r="H52" s="32">
        <v>204926.38629607751</v>
      </c>
      <c r="I52" s="32">
        <v>128825.37730526025</v>
      </c>
      <c r="J52" s="32">
        <v>140207.47441566386</v>
      </c>
      <c r="K52" s="32">
        <v>121149.93412906835</v>
      </c>
      <c r="L52" s="32">
        <v>151247.57040428068</v>
      </c>
      <c r="M52" s="32">
        <v>75204.2651866792</v>
      </c>
      <c r="N52" s="32">
        <v>20954.185547673354</v>
      </c>
      <c r="O52" s="32">
        <v>9377.9</v>
      </c>
      <c r="P52" s="32"/>
      <c r="Q52" s="32"/>
      <c r="R52" s="32"/>
      <c r="S52" s="32"/>
      <c r="T52" s="32"/>
      <c r="U52" s="32"/>
      <c r="V52" s="19"/>
      <c r="W52" s="55">
        <f t="shared" ref="W52:W56" si="10">SUM(D52:U52)</f>
        <v>1534647.0000000002</v>
      </c>
    </row>
    <row r="53" spans="2:24" ht="24.95" customHeight="1" thickBot="1">
      <c r="B53" s="88"/>
      <c r="C53" s="29" t="s">
        <v>477</v>
      </c>
      <c r="D53" s="32"/>
      <c r="E53" s="32">
        <v>18500</v>
      </c>
      <c r="F53" s="32">
        <v>1000</v>
      </c>
      <c r="G53" s="32"/>
      <c r="H53" s="32"/>
      <c r="I53" s="32"/>
      <c r="J53" s="32">
        <f>250</f>
        <v>250</v>
      </c>
      <c r="K53" s="32"/>
      <c r="L53" s="32">
        <v>1200</v>
      </c>
      <c r="M53" s="32"/>
      <c r="N53" s="32"/>
      <c r="O53" s="32"/>
      <c r="P53" s="32"/>
      <c r="Q53" s="32"/>
      <c r="R53" s="32"/>
      <c r="S53" s="32"/>
      <c r="T53" s="32"/>
      <c r="U53" s="32"/>
      <c r="V53" s="19"/>
      <c r="W53" s="55">
        <f t="shared" si="10"/>
        <v>20950</v>
      </c>
    </row>
    <row r="54" spans="2:24" ht="24.95" customHeight="1" thickBot="1">
      <c r="B54" s="88"/>
      <c r="C54" s="29" t="s">
        <v>478</v>
      </c>
      <c r="D54" s="32"/>
      <c r="E54" s="32"/>
      <c r="F54" s="32">
        <v>1000</v>
      </c>
      <c r="G54" s="32"/>
      <c r="H54" s="32"/>
      <c r="I54" s="32"/>
      <c r="J54" s="32">
        <v>1000</v>
      </c>
      <c r="K54" s="32"/>
      <c r="L54" s="32"/>
      <c r="M54" s="32">
        <v>100</v>
      </c>
      <c r="N54" s="32"/>
      <c r="O54" s="32"/>
      <c r="P54" s="32">
        <v>1000</v>
      </c>
      <c r="Q54" s="32"/>
      <c r="R54" s="32"/>
      <c r="S54" s="32"/>
      <c r="T54" s="32"/>
      <c r="U54" s="32"/>
      <c r="V54" s="19"/>
      <c r="W54" s="55">
        <f t="shared" si="10"/>
        <v>3100</v>
      </c>
    </row>
    <row r="55" spans="2:24" ht="24.95" customHeight="1" thickBot="1">
      <c r="B55" s="88"/>
      <c r="C55" s="29" t="s">
        <v>491</v>
      </c>
      <c r="D55" s="32"/>
      <c r="E55" s="32">
        <f>291170/11</f>
        <v>26470</v>
      </c>
      <c r="F55" s="32">
        <v>26470</v>
      </c>
      <c r="G55" s="32">
        <v>26470</v>
      </c>
      <c r="H55" s="32">
        <v>26470</v>
      </c>
      <c r="I55" s="32">
        <v>26470</v>
      </c>
      <c r="J55" s="32">
        <v>26470</v>
      </c>
      <c r="K55" s="32">
        <v>26470</v>
      </c>
      <c r="L55" s="32">
        <v>26470</v>
      </c>
      <c r="M55" s="32">
        <v>26470</v>
      </c>
      <c r="N55" s="32">
        <v>26470</v>
      </c>
      <c r="O55" s="32">
        <v>26470</v>
      </c>
      <c r="P55" s="32"/>
      <c r="Q55" s="32"/>
      <c r="R55" s="32"/>
      <c r="S55" s="32"/>
      <c r="T55" s="32"/>
      <c r="U55" s="32"/>
      <c r="V55" s="19"/>
      <c r="W55" s="55">
        <f t="shared" si="10"/>
        <v>291170</v>
      </c>
    </row>
    <row r="56" spans="2:24" ht="24.95" customHeight="1" thickBot="1">
      <c r="B56" s="88"/>
      <c r="C56" s="29" t="s">
        <v>490</v>
      </c>
      <c r="D56" s="32"/>
      <c r="E56" s="32">
        <v>5650</v>
      </c>
      <c r="F56" s="32">
        <v>7150</v>
      </c>
      <c r="G56" s="32">
        <v>5050</v>
      </c>
      <c r="H56" s="32">
        <v>5050</v>
      </c>
      <c r="I56" s="32">
        <v>4600</v>
      </c>
      <c r="J56" s="32">
        <v>4500</v>
      </c>
      <c r="K56" s="32">
        <v>1500</v>
      </c>
      <c r="L56" s="32">
        <v>500</v>
      </c>
      <c r="M56" s="32">
        <v>500</v>
      </c>
      <c r="N56" s="32">
        <v>0</v>
      </c>
      <c r="O56" s="32">
        <v>0</v>
      </c>
      <c r="P56" s="32"/>
      <c r="Q56" s="32"/>
      <c r="R56" s="32"/>
      <c r="S56" s="32"/>
      <c r="T56" s="32"/>
      <c r="U56" s="32"/>
      <c r="V56" s="19"/>
      <c r="W56" s="55">
        <f t="shared" si="10"/>
        <v>34500</v>
      </c>
    </row>
  </sheetData>
  <mergeCells count="4">
    <mergeCell ref="AE31:AE34"/>
    <mergeCell ref="AG31:AG34"/>
    <mergeCell ref="B52:B56"/>
    <mergeCell ref="B47:B5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8A46-18A8-49E4-92CB-41D0FE488573}">
  <dimension ref="A1:P38"/>
  <sheetViews>
    <sheetView topLeftCell="A4" zoomScale="115" zoomScaleNormal="115" workbookViewId="0">
      <selection activeCell="B13" sqref="B13"/>
    </sheetView>
  </sheetViews>
  <sheetFormatPr defaultRowHeight="15"/>
  <cols>
    <col min="1" max="1" width="36.85546875" bestFit="1" customWidth="1"/>
    <col min="2" max="2" width="19" style="1" bestFit="1" customWidth="1"/>
    <col min="3" max="3" width="14.28515625" style="1" bestFit="1" customWidth="1"/>
    <col min="4" max="4" width="15.28515625" style="1" bestFit="1" customWidth="1"/>
    <col min="5" max="5" width="14.28515625" style="1" bestFit="1" customWidth="1"/>
    <col min="6" max="6" width="13.28515625" style="1" bestFit="1" customWidth="1"/>
    <col min="7" max="9" width="12.140625" style="1" bestFit="1" customWidth="1"/>
    <col min="10" max="10" width="10.7109375" style="1" bestFit="1" customWidth="1"/>
    <col min="11" max="11" width="12.140625" style="1" bestFit="1" customWidth="1"/>
    <col min="12" max="12" width="10.7109375" style="1" bestFit="1" customWidth="1"/>
    <col min="13" max="14" width="12.140625" style="1" bestFit="1" customWidth="1"/>
    <col min="15" max="15" width="18.5703125" style="1" bestFit="1" customWidth="1"/>
    <col min="16" max="16" width="15.85546875" bestFit="1" customWidth="1"/>
  </cols>
  <sheetData>
    <row r="1" spans="1:16">
      <c r="A1" s="8" t="s">
        <v>33</v>
      </c>
      <c r="B1" s="1" t="s">
        <v>471</v>
      </c>
    </row>
    <row r="3" spans="1:16">
      <c r="A3" s="8" t="s">
        <v>470</v>
      </c>
      <c r="B3" s="53" t="s">
        <v>26</v>
      </c>
      <c r="P3" s="1"/>
    </row>
    <row r="4" spans="1:16">
      <c r="A4" s="8" t="s">
        <v>1</v>
      </c>
      <c r="B4" t="s">
        <v>157</v>
      </c>
      <c r="C4" t="s">
        <v>504</v>
      </c>
      <c r="D4" t="s">
        <v>503</v>
      </c>
      <c r="E4" s="7">
        <v>44408</v>
      </c>
      <c r="F4" s="7">
        <v>44409</v>
      </c>
      <c r="G4" s="7">
        <v>44445</v>
      </c>
      <c r="H4" s="7">
        <v>44466</v>
      </c>
      <c r="I4" s="7">
        <v>44575</v>
      </c>
      <c r="J4" s="7">
        <v>44580</v>
      </c>
      <c r="K4" s="7">
        <v>44630</v>
      </c>
      <c r="L4" s="7">
        <v>44672</v>
      </c>
      <c r="M4" s="7">
        <v>44713</v>
      </c>
      <c r="N4" s="7">
        <v>44743</v>
      </c>
      <c r="O4" t="s">
        <v>506</v>
      </c>
      <c r="P4" s="1" t="s">
        <v>2</v>
      </c>
    </row>
    <row r="5" spans="1:16">
      <c r="A5" s="27" t="s">
        <v>486</v>
      </c>
      <c r="B5" s="3">
        <v>291170</v>
      </c>
      <c r="C5" s="3"/>
      <c r="D5" s="3">
        <v>34500</v>
      </c>
      <c r="E5" s="3"/>
      <c r="F5" s="3">
        <v>18500</v>
      </c>
      <c r="G5" s="3">
        <v>1000</v>
      </c>
      <c r="H5" s="3">
        <v>1000</v>
      </c>
      <c r="I5" s="3">
        <v>1000</v>
      </c>
      <c r="J5" s="3">
        <v>250</v>
      </c>
      <c r="K5" s="3">
        <v>1200</v>
      </c>
      <c r="L5" s="3">
        <v>100</v>
      </c>
      <c r="M5" s="3"/>
      <c r="N5" s="3">
        <v>1000</v>
      </c>
      <c r="O5" s="3">
        <v>1534647.0000000002</v>
      </c>
      <c r="P5" s="3">
        <v>1884367.0000000002</v>
      </c>
    </row>
    <row r="6" spans="1:16">
      <c r="A6" s="33" t="s">
        <v>56</v>
      </c>
      <c r="B6" s="3"/>
      <c r="C6" s="3"/>
      <c r="D6" s="3"/>
      <c r="E6" s="3"/>
      <c r="F6" s="3">
        <v>18500</v>
      </c>
      <c r="G6" s="3"/>
      <c r="H6" s="3">
        <v>1000</v>
      </c>
      <c r="I6" s="3"/>
      <c r="J6" s="3">
        <v>250</v>
      </c>
      <c r="K6" s="3">
        <v>1200</v>
      </c>
      <c r="L6" s="3"/>
      <c r="M6" s="3"/>
      <c r="N6" s="3"/>
      <c r="O6" s="3"/>
      <c r="P6" s="3">
        <v>20950</v>
      </c>
    </row>
    <row r="7" spans="1:16">
      <c r="A7" s="33" t="s">
        <v>489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v>1534647.0000000002</v>
      </c>
      <c r="P7" s="3">
        <v>1534647.0000000002</v>
      </c>
    </row>
    <row r="8" spans="1:16">
      <c r="A8" s="33" t="s">
        <v>492</v>
      </c>
      <c r="B8" s="3">
        <v>291170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>
        <v>291170</v>
      </c>
    </row>
    <row r="9" spans="1:16">
      <c r="A9" s="33" t="s">
        <v>493</v>
      </c>
      <c r="B9" s="3"/>
      <c r="C9" s="3"/>
      <c r="D9" s="78">
        <v>34500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v>34500</v>
      </c>
    </row>
    <row r="10" spans="1:16">
      <c r="A10" s="33" t="s">
        <v>61</v>
      </c>
      <c r="B10" s="3"/>
      <c r="C10" s="3"/>
      <c r="D10" s="3"/>
      <c r="E10" s="3"/>
      <c r="F10" s="3"/>
      <c r="G10" s="3">
        <v>1000</v>
      </c>
      <c r="H10" s="3"/>
      <c r="I10" s="3">
        <v>1000</v>
      </c>
      <c r="J10" s="3"/>
      <c r="K10" s="3"/>
      <c r="L10" s="3">
        <v>100</v>
      </c>
      <c r="M10" s="3"/>
      <c r="N10" s="3">
        <v>1000</v>
      </c>
      <c r="O10" s="3"/>
      <c r="P10" s="3">
        <v>3100</v>
      </c>
    </row>
    <row r="11" spans="1:16">
      <c r="A11" s="27" t="s">
        <v>488</v>
      </c>
      <c r="B11" s="3">
        <v>97900</v>
      </c>
      <c r="C11" s="3">
        <v>499200</v>
      </c>
      <c r="D11" s="3"/>
      <c r="E11" s="3">
        <v>125800</v>
      </c>
      <c r="F11" s="3">
        <v>5000</v>
      </c>
      <c r="G11" s="3"/>
      <c r="H11" s="3"/>
      <c r="I11" s="3"/>
      <c r="J11" s="3"/>
      <c r="K11" s="3"/>
      <c r="L11" s="3"/>
      <c r="M11" s="3">
        <v>3600</v>
      </c>
      <c r="N11" s="3">
        <v>7400</v>
      </c>
      <c r="O11" s="3"/>
      <c r="P11" s="3">
        <v>738900</v>
      </c>
    </row>
    <row r="12" spans="1:16">
      <c r="A12" s="33" t="s">
        <v>56</v>
      </c>
      <c r="B12" s="3"/>
      <c r="C12" s="3"/>
      <c r="D12" s="3"/>
      <c r="E12" s="3">
        <v>125800</v>
      </c>
      <c r="F12" s="3">
        <v>5000</v>
      </c>
      <c r="G12" s="3"/>
      <c r="H12" s="3"/>
      <c r="I12" s="3"/>
      <c r="J12" s="3"/>
      <c r="K12" s="3"/>
      <c r="L12" s="3"/>
      <c r="M12" s="3"/>
      <c r="N12" s="3"/>
      <c r="O12" s="3"/>
      <c r="P12" s="3">
        <v>130800</v>
      </c>
    </row>
    <row r="13" spans="1:16">
      <c r="A13" s="33" t="s">
        <v>492</v>
      </c>
      <c r="B13" s="3">
        <v>97900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v>97900</v>
      </c>
    </row>
    <row r="14" spans="1:16">
      <c r="A14" s="33" t="s">
        <v>61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>
        <v>3600</v>
      </c>
      <c r="N14" s="3">
        <v>7400</v>
      </c>
      <c r="O14" s="3"/>
      <c r="P14" s="3">
        <v>11000</v>
      </c>
    </row>
    <row r="15" spans="1:16">
      <c r="A15" s="33" t="s">
        <v>381</v>
      </c>
      <c r="B15" s="3"/>
      <c r="C15" s="3">
        <v>499200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>
        <v>499200</v>
      </c>
    </row>
    <row r="16" spans="1:16">
      <c r="A16" s="27" t="s">
        <v>2</v>
      </c>
      <c r="B16" s="3">
        <v>389070</v>
      </c>
      <c r="C16" s="3">
        <v>499200</v>
      </c>
      <c r="D16" s="3">
        <v>34500</v>
      </c>
      <c r="E16" s="3">
        <v>125800</v>
      </c>
      <c r="F16" s="3">
        <v>23500</v>
      </c>
      <c r="G16" s="3">
        <v>1000</v>
      </c>
      <c r="H16" s="3">
        <v>1000</v>
      </c>
      <c r="I16" s="3">
        <v>1000</v>
      </c>
      <c r="J16" s="3">
        <v>250</v>
      </c>
      <c r="K16" s="3">
        <v>1200</v>
      </c>
      <c r="L16" s="3">
        <v>100</v>
      </c>
      <c r="M16" s="3">
        <v>3600</v>
      </c>
      <c r="N16" s="3">
        <v>8400</v>
      </c>
      <c r="O16" s="3">
        <v>1534647.0000000002</v>
      </c>
      <c r="P16" s="3">
        <v>2623267</v>
      </c>
    </row>
    <row r="18" spans="1:3">
      <c r="A18" s="8" t="s">
        <v>37</v>
      </c>
      <c r="B18" t="s">
        <v>493</v>
      </c>
    </row>
    <row r="19" spans="1:3">
      <c r="A19" s="8" t="s">
        <v>38</v>
      </c>
      <c r="B19" t="s">
        <v>505</v>
      </c>
    </row>
    <row r="21" spans="1:3">
      <c r="A21" s="8" t="s">
        <v>1</v>
      </c>
      <c r="B21" t="s">
        <v>470</v>
      </c>
      <c r="C21"/>
    </row>
    <row r="22" spans="1:3">
      <c r="A22" s="27" t="s">
        <v>501</v>
      </c>
      <c r="B22" s="79">
        <v>9000</v>
      </c>
      <c r="C22"/>
    </row>
    <row r="23" spans="1:3">
      <c r="A23" s="27" t="s">
        <v>204</v>
      </c>
      <c r="B23" s="79">
        <v>300</v>
      </c>
      <c r="C23"/>
    </row>
    <row r="24" spans="1:3">
      <c r="A24" s="27" t="s">
        <v>502</v>
      </c>
      <c r="B24" s="79">
        <v>12000</v>
      </c>
      <c r="C24"/>
    </row>
    <row r="25" spans="1:3">
      <c r="A25" s="27" t="s">
        <v>91</v>
      </c>
      <c r="B25" s="79">
        <v>600</v>
      </c>
      <c r="C25"/>
    </row>
    <row r="26" spans="1:3">
      <c r="A26" s="27" t="s">
        <v>98</v>
      </c>
      <c r="B26" s="79">
        <v>600</v>
      </c>
      <c r="C26"/>
    </row>
    <row r="27" spans="1:3">
      <c r="A27" s="27" t="s">
        <v>47</v>
      </c>
      <c r="B27" s="79">
        <v>11000</v>
      </c>
      <c r="C27"/>
    </row>
    <row r="28" spans="1:3">
      <c r="A28" s="27" t="s">
        <v>86</v>
      </c>
      <c r="B28" s="79">
        <v>1000</v>
      </c>
      <c r="C28"/>
    </row>
    <row r="29" spans="1:3">
      <c r="A29" s="27" t="s">
        <v>2</v>
      </c>
      <c r="B29" s="71">
        <v>34500</v>
      </c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4ADD-D4DF-4194-94A8-4CF1D336DD29}">
  <dimension ref="B1:AB49"/>
  <sheetViews>
    <sheetView zoomScale="85" zoomScaleNormal="85" workbookViewId="0">
      <selection activeCell="R39" sqref="R39"/>
    </sheetView>
  </sheetViews>
  <sheetFormatPr defaultRowHeight="15"/>
  <cols>
    <col min="2" max="2" width="11.28515625" customWidth="1"/>
    <col min="4" max="4" width="11.28515625" customWidth="1"/>
    <col min="5" max="5" width="9.140625" style="1"/>
    <col min="6" max="6" width="13.42578125" customWidth="1"/>
    <col min="7" max="7" width="9.140625" style="4"/>
  </cols>
  <sheetData>
    <row r="1" spans="2:7">
      <c r="B1" s="11" t="s">
        <v>17</v>
      </c>
    </row>
    <row r="4" spans="2:7">
      <c r="B4" s="90" t="s">
        <v>9</v>
      </c>
      <c r="C4" s="90"/>
      <c r="D4" s="7">
        <v>44424</v>
      </c>
      <c r="F4" s="9" t="s">
        <v>10</v>
      </c>
      <c r="G4" s="10">
        <f>D5-D4</f>
        <v>291</v>
      </c>
    </row>
    <row r="5" spans="2:7">
      <c r="B5" s="90" t="s">
        <v>8</v>
      </c>
      <c r="C5" s="90"/>
      <c r="D5" s="7">
        <v>44715</v>
      </c>
      <c r="G5" s="4">
        <f ca="1">D6-D4</f>
        <v>112</v>
      </c>
    </row>
    <row r="6" spans="2:7">
      <c r="B6" s="90" t="s">
        <v>7</v>
      </c>
      <c r="C6" s="90"/>
      <c r="D6" s="7">
        <f ca="1">TODAY()</f>
        <v>44536</v>
      </c>
      <c r="F6" s="9" t="s">
        <v>11</v>
      </c>
      <c r="G6" s="4">
        <f ca="1">G4-G5</f>
        <v>179</v>
      </c>
    </row>
    <row r="9" spans="2:7">
      <c r="B9" s="9" t="s">
        <v>3</v>
      </c>
      <c r="E9" s="6">
        <f ca="1">G5/G4</f>
        <v>0.38487972508591067</v>
      </c>
    </row>
    <row r="15" spans="2:7">
      <c r="B15" s="9" t="s">
        <v>4</v>
      </c>
    </row>
    <row r="17" spans="2:28">
      <c r="B17" t="s">
        <v>12</v>
      </c>
    </row>
    <row r="18" spans="2:28">
      <c r="B18" t="s">
        <v>13</v>
      </c>
    </row>
    <row r="19" spans="2:28">
      <c r="B19" t="s">
        <v>15</v>
      </c>
    </row>
    <row r="21" spans="2:28">
      <c r="B21" s="2" t="s">
        <v>14</v>
      </c>
      <c r="C21" s="1" t="e">
        <f>C18/C17</f>
        <v>#DIV/0!</v>
      </c>
    </row>
    <row r="23" spans="2:28">
      <c r="B23" t="s">
        <v>16</v>
      </c>
    </row>
    <row r="32" spans="2:28">
      <c r="AB32" t="s">
        <v>18</v>
      </c>
    </row>
    <row r="40" spans="10:10">
      <c r="J40" t="s">
        <v>5</v>
      </c>
    </row>
    <row r="49" spans="10:10">
      <c r="J49" t="s">
        <v>6</v>
      </c>
    </row>
  </sheetData>
  <mergeCells count="3">
    <mergeCell ref="B6:C6"/>
    <mergeCell ref="B4:C4"/>
    <mergeCell ref="B5: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 GERAL</vt:lpstr>
      <vt:lpstr>Aux2</vt:lpstr>
      <vt:lpstr>FLUXO DE CAIXA</vt:lpstr>
      <vt:lpstr>Aux 1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2021-09-13T21:10:44Z</dcterms:created>
  <dcterms:modified xsi:type="dcterms:W3CDTF">2021-12-06T20:36:51Z</dcterms:modified>
</cp:coreProperties>
</file>