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d74584feed74e9bf/CÍVEL NA PRÁTICA/CURSO DE DIREITO BANCÁRIO/1-FATURANDO COM A ADV BANCÁRIA_1 TURMA/material do curso finalizado/"/>
    </mc:Choice>
  </mc:AlternateContent>
  <xr:revisionPtr revIDLastSave="43" documentId="8_{AF7B1AC8-A074-4C84-9E3E-72F9671EB39E}" xr6:coauthVersionLast="47" xr6:coauthVersionMax="47" xr10:uidLastSave="{BD555164-5E89-4C21-AB0D-49149E70BD6D}"/>
  <bookViews>
    <workbookView xWindow="-108" yWindow="-108" windowWidth="23256" windowHeight="12576" activeTab="2" xr2:uid="{00000000-000D-0000-FFFF-FFFF00000000}"/>
  </bookViews>
  <sheets>
    <sheet name="DADOS DO CONTRATO E CAPITALIZ" sheetId="1" r:id="rId1"/>
    <sheet name="tabela price_FINANCEIRA" sheetId="4" r:id="rId2"/>
    <sheet name="tabela price_INSS" sheetId="5" r:id="rId3"/>
    <sheet name="diferenças" sheetId="6" r:id="rId4"/>
    <sheet name="RESUMO FINAL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G13" i="5"/>
  <c r="G14" i="5"/>
  <c r="C50" i="5"/>
  <c r="C51" i="5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G68" i="4"/>
  <c r="F68" i="4"/>
  <c r="E68" i="4"/>
  <c r="E69" i="4"/>
  <c r="F69" i="4" s="1"/>
  <c r="D68" i="4"/>
  <c r="D69" i="4" s="1"/>
  <c r="D70" i="4" s="1"/>
  <c r="D71" i="4" s="1"/>
  <c r="D72" i="4" s="1"/>
  <c r="D73" i="4" s="1"/>
  <c r="D74" i="4" s="1"/>
  <c r="D75" i="4" s="1"/>
  <c r="D76" i="4" s="1"/>
  <c r="D77" i="4" s="1"/>
  <c r="C68" i="4"/>
  <c r="C69" i="4" s="1"/>
  <c r="C70" i="4" s="1"/>
  <c r="C71" i="4" s="1"/>
  <c r="C72" i="4" s="1"/>
  <c r="C73" i="4" s="1"/>
  <c r="C74" i="4" s="1"/>
  <c r="C75" i="4" s="1"/>
  <c r="C76" i="4" s="1"/>
  <c r="C77" i="4" s="1"/>
  <c r="F23" i="7"/>
  <c r="C23" i="7"/>
  <c r="F24" i="7"/>
  <c r="C24" i="7"/>
  <c r="F6" i="1"/>
  <c r="G11" i="6"/>
  <c r="C3" i="7"/>
  <c r="C4" i="7"/>
  <c r="C5" i="7"/>
  <c r="G7" i="5"/>
  <c r="C19" i="1"/>
  <c r="G9" i="4" s="1"/>
  <c r="G69" i="4" l="1"/>
  <c r="G9" i="5"/>
  <c r="E70" i="4" l="1"/>
  <c r="F70" i="4" s="1"/>
  <c r="G70" i="4" s="1"/>
  <c r="G11" i="4"/>
  <c r="G13" i="6" s="1"/>
  <c r="H36" i="1"/>
  <c r="H39" i="1" s="1"/>
  <c r="C29" i="7"/>
  <c r="C20" i="7"/>
  <c r="F20" i="7" s="1"/>
  <c r="C19" i="7"/>
  <c r="C10" i="7"/>
  <c r="F10" i="7" s="1"/>
  <c r="C11" i="7"/>
  <c r="C12" i="7"/>
  <c r="C13" i="7"/>
  <c r="C14" i="7"/>
  <c r="C15" i="7"/>
  <c r="C9" i="7"/>
  <c r="F9" i="7" s="1"/>
  <c r="E71" i="4" l="1"/>
  <c r="F71" i="4" s="1"/>
  <c r="G71" i="4" s="1"/>
  <c r="C17" i="7"/>
  <c r="F6" i="7"/>
  <c r="C19" i="6"/>
  <c r="C15" i="6"/>
  <c r="H12" i="6"/>
  <c r="F26" i="7" s="1"/>
  <c r="C13" i="6"/>
  <c r="C12" i="6"/>
  <c r="C11" i="6"/>
  <c r="C10" i="6"/>
  <c r="C9" i="6"/>
  <c r="G8" i="6"/>
  <c r="C8" i="6"/>
  <c r="G7" i="6"/>
  <c r="C7" i="6"/>
  <c r="H5" i="6"/>
  <c r="C5" i="6"/>
  <c r="C4" i="6"/>
  <c r="C3" i="6"/>
  <c r="C19" i="5"/>
  <c r="C15" i="5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13" i="5"/>
  <c r="F15" i="7" s="1"/>
  <c r="C12" i="5"/>
  <c r="F14" i="7" s="1"/>
  <c r="C11" i="5"/>
  <c r="F13" i="7" s="1"/>
  <c r="C10" i="5"/>
  <c r="F12" i="7" s="1"/>
  <c r="C9" i="5"/>
  <c r="F11" i="7" s="1"/>
  <c r="F17" i="7" s="1"/>
  <c r="G8" i="5"/>
  <c r="C8" i="5"/>
  <c r="C7" i="5"/>
  <c r="G5" i="5"/>
  <c r="C5" i="5"/>
  <c r="C4" i="5"/>
  <c r="C3" i="5"/>
  <c r="G12" i="4"/>
  <c r="G14" i="6" s="1"/>
  <c r="C19" i="4"/>
  <c r="G5" i="4"/>
  <c r="C5" i="4"/>
  <c r="G8" i="4"/>
  <c r="G7" i="4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29" i="6" s="1"/>
  <c r="C13" i="4"/>
  <c r="C12" i="4"/>
  <c r="C11" i="4"/>
  <c r="C10" i="4"/>
  <c r="C9" i="4"/>
  <c r="C8" i="4"/>
  <c r="C7" i="4"/>
  <c r="C4" i="4"/>
  <c r="C3" i="4"/>
  <c r="C15" i="4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H40" i="1"/>
  <c r="C15" i="1"/>
  <c r="B34" i="1" s="1"/>
  <c r="E72" i="4" l="1"/>
  <c r="F72" i="4" s="1"/>
  <c r="G72" i="4" s="1"/>
  <c r="C20" i="6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21" i="7"/>
  <c r="C31" i="7" s="1"/>
  <c r="C29" i="1"/>
  <c r="G19" i="4"/>
  <c r="D30" i="4"/>
  <c r="G9" i="6"/>
  <c r="G19" i="5"/>
  <c r="E20" i="5" s="1"/>
  <c r="D20" i="6"/>
  <c r="C14" i="5"/>
  <c r="D24" i="6"/>
  <c r="D23" i="6"/>
  <c r="D28" i="6"/>
  <c r="D22" i="6"/>
  <c r="D27" i="6"/>
  <c r="D21" i="6"/>
  <c r="D26" i="6"/>
  <c r="D25" i="6"/>
  <c r="C14" i="6"/>
  <c r="C14" i="4"/>
  <c r="E73" i="4" l="1"/>
  <c r="F73" i="4" s="1"/>
  <c r="G73" i="4" s="1"/>
  <c r="D31" i="4"/>
  <c r="D30" i="6"/>
  <c r="D20" i="5"/>
  <c r="E20" i="4"/>
  <c r="F20" i="4" s="1"/>
  <c r="G20" i="4" s="1"/>
  <c r="E21" i="4" s="1"/>
  <c r="E74" i="4" l="1"/>
  <c r="F74" i="4" s="1"/>
  <c r="G74" i="4" s="1"/>
  <c r="E20" i="6"/>
  <c r="F20" i="6" s="1"/>
  <c r="F19" i="7"/>
  <c r="F21" i="7" s="1"/>
  <c r="D32" i="4"/>
  <c r="D31" i="6"/>
  <c r="D21" i="5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F20" i="5"/>
  <c r="G20" i="5" s="1"/>
  <c r="E21" i="5" s="1"/>
  <c r="F21" i="4"/>
  <c r="G21" i="4" s="1"/>
  <c r="D51" i="5" l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E75" i="4"/>
  <c r="F75" i="4" s="1"/>
  <c r="G75" i="4"/>
  <c r="E21" i="6"/>
  <c r="F21" i="6" s="1"/>
  <c r="F32" i="7"/>
  <c r="F31" i="7"/>
  <c r="D33" i="4"/>
  <c r="D32" i="6"/>
  <c r="F21" i="5"/>
  <c r="G21" i="5" s="1"/>
  <c r="E22" i="5" s="1"/>
  <c r="F22" i="5" s="1"/>
  <c r="G22" i="5" s="1"/>
  <c r="E23" i="5" s="1"/>
  <c r="F23" i="5" s="1"/>
  <c r="G23" i="5" s="1"/>
  <c r="E22" i="4"/>
  <c r="F22" i="4" s="1"/>
  <c r="G22" i="4" s="1"/>
  <c r="E23" i="4" s="1"/>
  <c r="F23" i="4" s="1"/>
  <c r="G23" i="4" s="1"/>
  <c r="E24" i="4" s="1"/>
  <c r="E76" i="4" l="1"/>
  <c r="F76" i="4" s="1"/>
  <c r="G76" i="4" s="1"/>
  <c r="E22" i="6"/>
  <c r="F22" i="6" s="1"/>
  <c r="D34" i="4"/>
  <c r="D33" i="6"/>
  <c r="E24" i="5"/>
  <c r="F24" i="5" s="1"/>
  <c r="G24" i="5" s="1"/>
  <c r="F24" i="4"/>
  <c r="G24" i="4" s="1"/>
  <c r="E25" i="4" s="1"/>
  <c r="E77" i="4" l="1"/>
  <c r="F77" i="4" s="1"/>
  <c r="G77" i="4" s="1"/>
  <c r="E23" i="6"/>
  <c r="E24" i="6" s="1"/>
  <c r="D35" i="4"/>
  <c r="D34" i="6"/>
  <c r="E25" i="5"/>
  <c r="F25" i="5" s="1"/>
  <c r="G25" i="5" s="1"/>
  <c r="F25" i="4"/>
  <c r="G25" i="4" s="1"/>
  <c r="E26" i="4" s="1"/>
  <c r="F23" i="6" l="1"/>
  <c r="D36" i="4"/>
  <c r="D35" i="6"/>
  <c r="F24" i="6"/>
  <c r="E25" i="6"/>
  <c r="E26" i="5"/>
  <c r="F26" i="5" s="1"/>
  <c r="G26" i="5" s="1"/>
  <c r="F26" i="4"/>
  <c r="G26" i="4" s="1"/>
  <c r="E27" i="4" s="1"/>
  <c r="D37" i="4" l="1"/>
  <c r="D36" i="6"/>
  <c r="E26" i="6"/>
  <c r="F25" i="6"/>
  <c r="E27" i="5"/>
  <c r="F27" i="5" s="1"/>
  <c r="G27" i="5" s="1"/>
  <c r="F27" i="4"/>
  <c r="G27" i="4" s="1"/>
  <c r="E28" i="4" s="1"/>
  <c r="D38" i="4" l="1"/>
  <c r="D37" i="6"/>
  <c r="E27" i="6"/>
  <c r="F26" i="6"/>
  <c r="E28" i="5"/>
  <c r="F28" i="5" s="1"/>
  <c r="G28" i="5" s="1"/>
  <c r="F28" i="4"/>
  <c r="G28" i="4" s="1"/>
  <c r="E29" i="4" s="1"/>
  <c r="D39" i="4" l="1"/>
  <c r="D38" i="6"/>
  <c r="F27" i="6"/>
  <c r="E28" i="6"/>
  <c r="E29" i="5"/>
  <c r="F29" i="5" s="1"/>
  <c r="G29" i="5" s="1"/>
  <c r="F29" i="4"/>
  <c r="G29" i="4" s="1"/>
  <c r="E30" i="4" s="1"/>
  <c r="D40" i="4" l="1"/>
  <c r="D39" i="6"/>
  <c r="F28" i="6"/>
  <c r="E29" i="6"/>
  <c r="F30" i="4"/>
  <c r="G30" i="4" s="1"/>
  <c r="E31" i="4" s="1"/>
  <c r="E30" i="5"/>
  <c r="F30" i="5" s="1"/>
  <c r="G30" i="5" s="1"/>
  <c r="D41" i="4" l="1"/>
  <c r="D40" i="6"/>
  <c r="F29" i="6"/>
  <c r="E30" i="6"/>
  <c r="F31" i="4"/>
  <c r="G31" i="4" s="1"/>
  <c r="E32" i="4" s="1"/>
  <c r="E31" i="5"/>
  <c r="F31" i="5" s="1"/>
  <c r="G31" i="5" s="1"/>
  <c r="D42" i="4" l="1"/>
  <c r="D41" i="6"/>
  <c r="E31" i="6"/>
  <c r="F30" i="6"/>
  <c r="E32" i="5"/>
  <c r="F32" i="5" s="1"/>
  <c r="G32" i="5" s="1"/>
  <c r="F32" i="4"/>
  <c r="G32" i="4" s="1"/>
  <c r="E33" i="4" s="1"/>
  <c r="D43" i="4" l="1"/>
  <c r="D42" i="6"/>
  <c r="E32" i="6"/>
  <c r="F31" i="6"/>
  <c r="E33" i="5"/>
  <c r="F33" i="5" s="1"/>
  <c r="F33" i="4"/>
  <c r="G33" i="4" s="1"/>
  <c r="E34" i="4" s="1"/>
  <c r="D44" i="4" l="1"/>
  <c r="D43" i="6"/>
  <c r="E33" i="6"/>
  <c r="F32" i="6"/>
  <c r="G33" i="5"/>
  <c r="F34" i="4"/>
  <c r="G34" i="4" s="1"/>
  <c r="E35" i="4" s="1"/>
  <c r="D45" i="4" l="1"/>
  <c r="D44" i="6"/>
  <c r="F33" i="6"/>
  <c r="E34" i="6"/>
  <c r="E34" i="5"/>
  <c r="F34" i="5" s="1"/>
  <c r="F35" i="4"/>
  <c r="G35" i="4" s="1"/>
  <c r="E36" i="4" s="1"/>
  <c r="D46" i="4" l="1"/>
  <c r="D45" i="6"/>
  <c r="E35" i="6"/>
  <c r="F34" i="6"/>
  <c r="G34" i="5"/>
  <c r="F36" i="4"/>
  <c r="G36" i="4" s="1"/>
  <c r="E37" i="4" s="1"/>
  <c r="D47" i="4" l="1"/>
  <c r="D46" i="6"/>
  <c r="E36" i="6"/>
  <c r="F35" i="6"/>
  <c r="E35" i="5"/>
  <c r="F35" i="5" s="1"/>
  <c r="F37" i="4"/>
  <c r="G37" i="4" s="1"/>
  <c r="E38" i="4" s="1"/>
  <c r="D48" i="4" l="1"/>
  <c r="D47" i="6"/>
  <c r="E37" i="6"/>
  <c r="F36" i="6"/>
  <c r="G35" i="5"/>
  <c r="F38" i="4"/>
  <c r="G38" i="4" s="1"/>
  <c r="E39" i="4" s="1"/>
  <c r="D49" i="4" l="1"/>
  <c r="D48" i="6"/>
  <c r="E38" i="6"/>
  <c r="F37" i="6"/>
  <c r="E36" i="5"/>
  <c r="F36" i="5" s="1"/>
  <c r="F39" i="4"/>
  <c r="G39" i="4" s="1"/>
  <c r="D50" i="4" l="1"/>
  <c r="D49" i="6"/>
  <c r="F38" i="6"/>
  <c r="E39" i="6"/>
  <c r="G36" i="5"/>
  <c r="E40" i="4"/>
  <c r="F40" i="4" s="1"/>
  <c r="G40" i="4" s="1"/>
  <c r="E41" i="4" s="1"/>
  <c r="F41" i="4" s="1"/>
  <c r="G41" i="4" s="1"/>
  <c r="E42" i="4" s="1"/>
  <c r="D51" i="4" l="1"/>
  <c r="F39" i="6"/>
  <c r="E40" i="6"/>
  <c r="E37" i="5"/>
  <c r="F37" i="5" s="1"/>
  <c r="F42" i="4"/>
  <c r="G42" i="4" s="1"/>
  <c r="E43" i="4" s="1"/>
  <c r="D52" i="4" l="1"/>
  <c r="F40" i="6"/>
  <c r="E41" i="6"/>
  <c r="G37" i="5"/>
  <c r="F43" i="4"/>
  <c r="G43" i="4" s="1"/>
  <c r="E44" i="4" s="1"/>
  <c r="D53" i="4" l="1"/>
  <c r="F41" i="6"/>
  <c r="E42" i="6"/>
  <c r="E38" i="5"/>
  <c r="F38" i="5" s="1"/>
  <c r="G38" i="5" s="1"/>
  <c r="F44" i="4"/>
  <c r="G44" i="4" s="1"/>
  <c r="D54" i="4" l="1"/>
  <c r="E43" i="6"/>
  <c r="F42" i="6"/>
  <c r="E39" i="5"/>
  <c r="F39" i="5" s="1"/>
  <c r="E45" i="4"/>
  <c r="F45" i="4" s="1"/>
  <c r="G45" i="4" s="1"/>
  <c r="D55" i="4" l="1"/>
  <c r="E44" i="6"/>
  <c r="F43" i="6"/>
  <c r="G39" i="5"/>
  <c r="E46" i="4"/>
  <c r="F46" i="4" s="1"/>
  <c r="G46" i="4" s="1"/>
  <c r="D56" i="4" l="1"/>
  <c r="E45" i="6"/>
  <c r="F44" i="6"/>
  <c r="E40" i="5"/>
  <c r="F40" i="5" s="1"/>
  <c r="E47" i="4"/>
  <c r="F47" i="4" s="1"/>
  <c r="G47" i="4" s="1"/>
  <c r="D57" i="4" l="1"/>
  <c r="E46" i="6"/>
  <c r="F45" i="6"/>
  <c r="G40" i="5"/>
  <c r="E48" i="4"/>
  <c r="F48" i="4" s="1"/>
  <c r="G48" i="4" s="1"/>
  <c r="E49" i="4" s="1"/>
  <c r="F49" i="4" s="1"/>
  <c r="G49" i="4" s="1"/>
  <c r="D58" i="4" l="1"/>
  <c r="E47" i="6"/>
  <c r="F46" i="6"/>
  <c r="E41" i="5"/>
  <c r="F41" i="5" s="1"/>
  <c r="E50" i="4"/>
  <c r="F50" i="4" s="1"/>
  <c r="G50" i="4" s="1"/>
  <c r="E51" i="4" s="1"/>
  <c r="F51" i="4" s="1"/>
  <c r="G51" i="4" s="1"/>
  <c r="E52" i="4" s="1"/>
  <c r="F52" i="4" s="1"/>
  <c r="G52" i="4" s="1"/>
  <c r="E53" i="4" s="1"/>
  <c r="F53" i="4" s="1"/>
  <c r="G53" i="4" s="1"/>
  <c r="E54" i="4" s="1"/>
  <c r="F54" i="4" s="1"/>
  <c r="G54" i="4" s="1"/>
  <c r="E55" i="4" s="1"/>
  <c r="D59" i="4" l="1"/>
  <c r="F47" i="6"/>
  <c r="E48" i="6"/>
  <c r="G41" i="5"/>
  <c r="F55" i="4"/>
  <c r="G55" i="4" s="1"/>
  <c r="D60" i="4" l="1"/>
  <c r="E49" i="6"/>
  <c r="F48" i="6"/>
  <c r="E42" i="5"/>
  <c r="F42" i="5" s="1"/>
  <c r="E56" i="4"/>
  <c r="F56" i="4" s="1"/>
  <c r="G56" i="4" s="1"/>
  <c r="D61" i="4" l="1"/>
  <c r="F49" i="6"/>
  <c r="G42" i="5"/>
  <c r="E57" i="4"/>
  <c r="F57" i="4" s="1"/>
  <c r="G57" i="4" s="1"/>
  <c r="D62" i="4" l="1"/>
  <c r="E43" i="5"/>
  <c r="F43" i="5" s="1"/>
  <c r="E58" i="4"/>
  <c r="F58" i="4" s="1"/>
  <c r="G58" i="4" s="1"/>
  <c r="D63" i="4" l="1"/>
  <c r="G43" i="5"/>
  <c r="E59" i="4"/>
  <c r="F59" i="4" s="1"/>
  <c r="G59" i="4" s="1"/>
  <c r="D64" i="4" l="1"/>
  <c r="E44" i="5"/>
  <c r="F44" i="5" s="1"/>
  <c r="E60" i="4"/>
  <c r="F60" i="4" s="1"/>
  <c r="G60" i="4" s="1"/>
  <c r="D65" i="4" l="1"/>
  <c r="G44" i="5"/>
  <c r="E61" i="4"/>
  <c r="F61" i="4" s="1"/>
  <c r="G61" i="4" s="1"/>
  <c r="D66" i="4" l="1"/>
  <c r="E45" i="5"/>
  <c r="F45" i="5" s="1"/>
  <c r="E62" i="4"/>
  <c r="F62" i="4" s="1"/>
  <c r="G62" i="4" s="1"/>
  <c r="D67" i="4" l="1"/>
  <c r="G45" i="5"/>
  <c r="E63" i="4"/>
  <c r="F63" i="4" s="1"/>
  <c r="G63" i="4" s="1"/>
  <c r="E46" i="5" l="1"/>
  <c r="F46" i="5" s="1"/>
  <c r="E64" i="4"/>
  <c r="F64" i="4" s="1"/>
  <c r="G64" i="4" s="1"/>
  <c r="G46" i="5" l="1"/>
  <c r="E65" i="4"/>
  <c r="F65" i="4" s="1"/>
  <c r="G65" i="4" s="1"/>
  <c r="E66" i="4" s="1"/>
  <c r="F66" i="4" s="1"/>
  <c r="G66" i="4" s="1"/>
  <c r="E67" i="4" s="1"/>
  <c r="F67" i="4" s="1"/>
  <c r="G67" i="4" s="1"/>
  <c r="E47" i="5" l="1"/>
  <c r="F47" i="5" s="1"/>
  <c r="G47" i="5" l="1"/>
  <c r="E48" i="5" l="1"/>
  <c r="F48" i="5" s="1"/>
  <c r="G48" i="5" l="1"/>
  <c r="E49" i="5" l="1"/>
  <c r="F49" i="5" s="1"/>
  <c r="G49" i="5" l="1"/>
  <c r="E50" i="5" l="1"/>
  <c r="F50" i="5" s="1"/>
  <c r="G50" i="5"/>
  <c r="E51" i="5" s="1"/>
  <c r="F51" i="5" s="1"/>
  <c r="G51" i="5" s="1"/>
  <c r="F68" i="6"/>
  <c r="F70" i="6" s="1"/>
  <c r="E52" i="5" l="1"/>
  <c r="F52" i="5" s="1"/>
  <c r="G52" i="5"/>
  <c r="E53" i="5" s="1"/>
  <c r="F53" i="5" s="1"/>
  <c r="G53" i="5" s="1"/>
  <c r="E54" i="5" s="1"/>
  <c r="F54" i="5" s="1"/>
  <c r="G54" i="5" s="1"/>
  <c r="E55" i="5" s="1"/>
  <c r="F55" i="5" s="1"/>
  <c r="G55" i="5" s="1"/>
  <c r="E56" i="5" s="1"/>
  <c r="F56" i="5" s="1"/>
  <c r="G56" i="5" s="1"/>
  <c r="E57" i="5" s="1"/>
  <c r="F57" i="5" s="1"/>
  <c r="G57" i="5" s="1"/>
  <c r="E58" i="5" s="1"/>
  <c r="F58" i="5" s="1"/>
  <c r="G58" i="5" s="1"/>
  <c r="E59" i="5" s="1"/>
  <c r="F59" i="5" s="1"/>
  <c r="G59" i="5" s="1"/>
  <c r="E60" i="5" l="1"/>
  <c r="F60" i="5" s="1"/>
  <c r="G60" i="5" s="1"/>
  <c r="E61" i="5" l="1"/>
  <c r="F61" i="5" s="1"/>
  <c r="G61" i="5" s="1"/>
  <c r="E62" i="5" l="1"/>
  <c r="F62" i="5" s="1"/>
  <c r="G62" i="5" s="1"/>
  <c r="E63" i="5" l="1"/>
  <c r="F63" i="5" s="1"/>
  <c r="G63" i="5" s="1"/>
  <c r="E64" i="5" l="1"/>
  <c r="F64" i="5" s="1"/>
  <c r="G64" i="5" s="1"/>
  <c r="E65" i="5" s="1"/>
  <c r="F65" i="5" s="1"/>
  <c r="G65" i="5" s="1"/>
  <c r="E66" i="5" l="1"/>
  <c r="F66" i="5" s="1"/>
  <c r="G66" i="5" s="1"/>
  <c r="E67" i="5" s="1"/>
  <c r="F67" i="5" s="1"/>
  <c r="G67" i="5" s="1"/>
  <c r="E68" i="5" l="1"/>
  <c r="F68" i="5" s="1"/>
  <c r="G68" i="5" s="1"/>
  <c r="E69" i="5" s="1"/>
  <c r="F69" i="5" s="1"/>
  <c r="G69" i="5" s="1"/>
  <c r="E70" i="5" s="1"/>
  <c r="F70" i="5" s="1"/>
  <c r="G70" i="5" s="1"/>
  <c r="E71" i="5" s="1"/>
  <c r="F71" i="5" s="1"/>
  <c r="G71" i="5" s="1"/>
  <c r="E72" i="5" s="1"/>
  <c r="F72" i="5" s="1"/>
  <c r="G72" i="5" s="1"/>
  <c r="E73" i="5" l="1"/>
  <c r="F73" i="5" s="1"/>
  <c r="G73" i="5"/>
  <c r="E74" i="5" s="1"/>
  <c r="F74" i="5" s="1"/>
  <c r="G74" i="5" s="1"/>
  <c r="E75" i="5" l="1"/>
  <c r="F75" i="5" s="1"/>
  <c r="G75" i="5" s="1"/>
  <c r="E76" i="5" l="1"/>
  <c r="F76" i="5" s="1"/>
  <c r="G76" i="5" s="1"/>
  <c r="E77" i="5" s="1"/>
  <c r="F77" i="5" s="1"/>
  <c r="G77" i="5" s="1"/>
  <c r="G14" i="4" l="1"/>
  <c r="C27" i="7"/>
  <c r="C26" i="7"/>
  <c r="G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C19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sharedStrings.xml><?xml version="1.0" encoding="utf-8"?>
<sst xmlns="http://schemas.openxmlformats.org/spreadsheetml/2006/main" count="166" uniqueCount="68">
  <si>
    <t>Valor liberado:</t>
  </si>
  <si>
    <t>IOF:</t>
  </si>
  <si>
    <t>Tarifa de cadastro:</t>
  </si>
  <si>
    <t>seguro</t>
  </si>
  <si>
    <t>Outros:</t>
  </si>
  <si>
    <t>Valor total financiado:</t>
  </si>
  <si>
    <t>capitalização prevista no contrato:</t>
  </si>
  <si>
    <t>CONTRATO Nº:</t>
  </si>
  <si>
    <t>CONSUMIDOR(A):</t>
  </si>
  <si>
    <t>Valor da parcela (mensal):</t>
  </si>
  <si>
    <t>Quantidade de parcelas:</t>
  </si>
  <si>
    <t>Valor final a ser pago (sem mora)</t>
  </si>
  <si>
    <t>Lucro Bancário</t>
  </si>
  <si>
    <t>taxa de juros nominal (mensal):</t>
  </si>
  <si>
    <t>taxa de juros nominal (anual):</t>
  </si>
  <si>
    <t>custo efetivo total (mensal):</t>
  </si>
  <si>
    <t>custo efetivo total (anual):</t>
  </si>
  <si>
    <t>tx. efetiva mensal equivalente:</t>
  </si>
  <si>
    <t>tx. efetiva anual equivalente:</t>
  </si>
  <si>
    <t>CÁLCULO DE TAXAS EQUIVALENTES</t>
  </si>
  <si>
    <t>tx. proporcional ao dia (tx nominal ao mês / 30 dias):</t>
  </si>
  <si>
    <t>Análise do  resultado:</t>
  </si>
  <si>
    <t>Se a capitalização fosse diária, o quadro de taxas seria o seguinte:</t>
  </si>
  <si>
    <t>tx. Equivalente anual:</t>
  </si>
  <si>
    <t>nº parcelas</t>
  </si>
  <si>
    <t>vencimento</t>
  </si>
  <si>
    <t>valor da prestação</t>
  </si>
  <si>
    <t>juros</t>
  </si>
  <si>
    <t>amortização</t>
  </si>
  <si>
    <t>saldo devedor</t>
  </si>
  <si>
    <t>Consumidor(a)</t>
  </si>
  <si>
    <t>Instituição Financeira:</t>
  </si>
  <si>
    <t>Banco:</t>
  </si>
  <si>
    <t>Contrato:</t>
  </si>
  <si>
    <t>0000</t>
  </si>
  <si>
    <t>Data do Contrato:</t>
  </si>
  <si>
    <t>Venc. 1ª Parcela:</t>
  </si>
  <si>
    <t>Valor final a ser pago (sem mora):</t>
  </si>
  <si>
    <t>data do contrato:</t>
  </si>
  <si>
    <t>Última Parcela:</t>
  </si>
  <si>
    <t>CÁLCULO DO EMPRÉSTIMO PELA TABELA PRICE UTILIZADA PELA INSTITUIÇÃO FINANCEIRA</t>
  </si>
  <si>
    <t>MEMÓRIA DE CÁLCULO</t>
  </si>
  <si>
    <t>tx. de juros BACEN (mensal):</t>
  </si>
  <si>
    <t>tx. de juros BACEN (anual):</t>
  </si>
  <si>
    <t>CÁLCULO DO EMPRÉSTIMO PELA TAXA MÉDIA DO BACEN</t>
  </si>
  <si>
    <t>CÁLCULO DO VALOR PAGO A MAIOR</t>
  </si>
  <si>
    <t>valor pago</t>
  </si>
  <si>
    <t>valor devido</t>
  </si>
  <si>
    <t>diferença</t>
  </si>
  <si>
    <t>valor atualizado pago em excesso</t>
  </si>
  <si>
    <t>valor em dobro a ser recebido</t>
  </si>
  <si>
    <t>INFORMAÇÕES CONTRATUAIS</t>
  </si>
  <si>
    <t>RESUMO PARA A REVISÃO DO CONTRATO</t>
  </si>
  <si>
    <t>mensal</t>
  </si>
  <si>
    <t>DIFERENÇA ENTRE AS TAXAS</t>
  </si>
  <si>
    <t>CONFERÊNCIA DA TAXA DE JUROS DO CONTRATO</t>
  </si>
  <si>
    <t>a.m.</t>
  </si>
  <si>
    <t>XXXXXXXX</t>
  </si>
  <si>
    <t>SANTANDER</t>
  </si>
  <si>
    <r>
      <t xml:space="preserve">Se a </t>
    </r>
    <r>
      <rPr>
        <b/>
        <sz val="11"/>
        <color theme="1"/>
        <rFont val="Calibri"/>
        <family val="2"/>
        <scheme val="minor"/>
      </rPr>
      <t>taxa efetiva mensal equivalente</t>
    </r>
    <r>
      <rPr>
        <sz val="11"/>
        <color theme="1"/>
        <rFont val="Calibri"/>
        <family val="2"/>
        <scheme val="minor"/>
      </rPr>
      <t xml:space="preserve"> encontrada for maior do que a </t>
    </r>
    <r>
      <rPr>
        <b/>
        <sz val="11"/>
        <color theme="1"/>
        <rFont val="Calibri"/>
        <family val="2"/>
        <scheme val="minor"/>
      </rPr>
      <t>nominal</t>
    </r>
    <r>
      <rPr>
        <sz val="11"/>
        <color theme="1"/>
        <rFont val="Calibri"/>
        <family val="2"/>
        <scheme val="minor"/>
      </rPr>
      <t xml:space="preserve"> prevista no contrato, não há capitalização diária no contrato.</t>
    </r>
  </si>
  <si>
    <t xml:space="preserve">VALOR CONFORME O CONTRATO </t>
  </si>
  <si>
    <t>VALOR APÓS A REVISÃO</t>
  </si>
  <si>
    <t>taxa média do Bacen (mensal):</t>
  </si>
  <si>
    <t>taxa média do Bacen (anual):</t>
  </si>
  <si>
    <t>PERCENTUAL DE EXCESSO DA TAXA CONTRATUAL EM RELAÇÃO À MÉDIA DE MERCADO</t>
  </si>
  <si>
    <t>VALOR COBRADO A MAIOR PELO BANCO</t>
  </si>
  <si>
    <t>tx. de juros inss (mensal):</t>
  </si>
  <si>
    <t>tx. de juros inss (anual):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</si>
</sst>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%"/>
    <numFmt numFmtId="165" formatCode="0.00000%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44" fontId="0" fillId="0" borderId="0" xfId="1" applyFont="1"/>
    <xf numFmtId="0" fontId="2" fillId="2" borderId="0" xfId="0" applyFont="1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2" borderId="0" xfId="1" applyFont="1" applyFill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1" xfId="0" applyBorder="1"/>
    <xf numFmtId="164" fontId="0" fillId="0" borderId="2" xfId="2" applyNumberFormat="1" applyFont="1" applyBorder="1" applyAlignment="1">
      <alignment horizontal="center"/>
    </xf>
    <xf numFmtId="0" fontId="3" fillId="0" borderId="0" xfId="0" applyFont="1" applyAlignmen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left"/>
    </xf>
    <xf numFmtId="0" fontId="3" fillId="0" borderId="4" xfId="0" applyFont="1" applyBorder="1"/>
    <xf numFmtId="44" fontId="0" fillId="0" borderId="6" xfId="1" applyFont="1" applyBorder="1" applyAlignment="1">
      <alignment horizontal="center"/>
    </xf>
    <xf numFmtId="0" fontId="3" fillId="0" borderId="7" xfId="0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9" xfId="0" applyFont="1" applyBorder="1"/>
    <xf numFmtId="49" fontId="0" fillId="0" borderId="3" xfId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3" xfId="0" applyNumberFormat="1" applyBorder="1" applyAlignment="1">
      <alignment horizontal="left"/>
    </xf>
    <xf numFmtId="14" fontId="0" fillId="0" borderId="10" xfId="1" applyNumberFormat="1" applyFont="1" applyBorder="1" applyAlignment="1">
      <alignment horizontal="center"/>
    </xf>
    <xf numFmtId="0" fontId="0" fillId="0" borderId="8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" fillId="0" borderId="0" xfId="0" applyFont="1" applyBorder="1"/>
    <xf numFmtId="10" fontId="0" fillId="0" borderId="0" xfId="0" applyNumberFormat="1" applyBorder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3" fillId="3" borderId="1" xfId="0" applyFont="1" applyFill="1" applyBorder="1"/>
    <xf numFmtId="44" fontId="0" fillId="3" borderId="2" xfId="1" applyFont="1" applyFill="1" applyBorder="1" applyAlignment="1">
      <alignment horizontal="center"/>
    </xf>
    <xf numFmtId="0" fontId="3" fillId="0" borderId="11" xfId="0" applyFont="1" applyBorder="1"/>
    <xf numFmtId="44" fontId="0" fillId="0" borderId="12" xfId="1" applyFont="1" applyBorder="1" applyAlignment="1">
      <alignment horizontal="center"/>
    </xf>
    <xf numFmtId="0" fontId="3" fillId="0" borderId="13" xfId="0" applyFont="1" applyBorder="1"/>
    <xf numFmtId="44" fontId="0" fillId="0" borderId="14" xfId="1" applyFont="1" applyBorder="1" applyAlignment="1">
      <alignment horizontal="center"/>
    </xf>
    <xf numFmtId="0" fontId="4" fillId="0" borderId="13" xfId="0" applyFont="1" applyFill="1" applyBorder="1"/>
    <xf numFmtId="44" fontId="7" fillId="0" borderId="14" xfId="1" applyFont="1" applyFill="1" applyBorder="1" applyAlignment="1">
      <alignment horizontal="center"/>
    </xf>
    <xf numFmtId="0" fontId="3" fillId="0" borderId="15" xfId="0" applyFont="1" applyBorder="1"/>
    <xf numFmtId="14" fontId="0" fillId="0" borderId="16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4" fontId="0" fillId="0" borderId="19" xfId="1" applyFont="1" applyBorder="1"/>
    <xf numFmtId="0" fontId="0" fillId="0" borderId="19" xfId="0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3" fillId="5" borderId="0" xfId="0" applyNumberFormat="1" applyFont="1" applyFill="1"/>
    <xf numFmtId="10" fontId="0" fillId="0" borderId="0" xfId="2" applyNumberFormat="1" applyFont="1"/>
    <xf numFmtId="165" fontId="0" fillId="0" borderId="0" xfId="2" applyNumberFormat="1" applyFont="1"/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0" applyNumberFormat="1" applyFill="1"/>
    <xf numFmtId="165" fontId="0" fillId="0" borderId="0" xfId="2" applyNumberFormat="1" applyFont="1" applyFill="1"/>
    <xf numFmtId="8" fontId="0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4" fontId="12" fillId="0" borderId="9" xfId="2" applyNumberFormat="1" applyFont="1" applyBorder="1" applyAlignment="1">
      <alignment horizontal="right"/>
    </xf>
    <xf numFmtId="165" fontId="0" fillId="0" borderId="2" xfId="2" applyNumberFormat="1" applyFont="1" applyBorder="1" applyAlignment="1">
      <alignment horizontal="center"/>
    </xf>
    <xf numFmtId="0" fontId="0" fillId="0" borderId="7" xfId="0" applyBorder="1"/>
    <xf numFmtId="165" fontId="0" fillId="0" borderId="8" xfId="2" applyNumberFormat="1" applyFont="1" applyBorder="1" applyAlignment="1">
      <alignment horizontal="center"/>
    </xf>
    <xf numFmtId="0" fontId="0" fillId="0" borderId="9" xfId="0" applyBorder="1"/>
    <xf numFmtId="164" fontId="0" fillId="0" borderId="10" xfId="2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1" xfId="1" applyFont="1" applyBorder="1"/>
    <xf numFmtId="8" fontId="0" fillId="0" borderId="21" xfId="1" applyNumberFormat="1" applyFont="1" applyBorder="1"/>
    <xf numFmtId="44" fontId="0" fillId="0" borderId="21" xfId="0" applyNumberFormat="1" applyBorder="1" applyAlignment="1">
      <alignment horizontal="center"/>
    </xf>
    <xf numFmtId="44" fontId="7" fillId="0" borderId="21" xfId="1" applyNumberFormat="1" applyFont="1" applyBorder="1" applyAlignment="1">
      <alignment horizontal="center"/>
    </xf>
    <xf numFmtId="7" fontId="7" fillId="0" borderId="21" xfId="1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8" fontId="0" fillId="0" borderId="19" xfId="1" applyNumberFormat="1" applyFont="1" applyBorder="1" applyAlignment="1">
      <alignment horizontal="center"/>
    </xf>
    <xf numFmtId="44" fontId="2" fillId="4" borderId="0" xfId="1" applyFont="1" applyFill="1" applyAlignment="1"/>
    <xf numFmtId="0" fontId="3" fillId="5" borderId="0" xfId="0" applyFont="1" applyFill="1" applyAlignment="1"/>
    <xf numFmtId="0" fontId="3" fillId="7" borderId="7" xfId="0" applyFont="1" applyFill="1" applyBorder="1" applyAlignment="1">
      <alignment horizontal="center"/>
    </xf>
    <xf numFmtId="10" fontId="9" fillId="7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3" xfId="0" applyBorder="1" applyAlignment="1">
      <alignment horizontal="justify" vertical="center" wrapText="1"/>
    </xf>
    <xf numFmtId="0" fontId="3" fillId="7" borderId="22" xfId="0" applyFont="1" applyFill="1" applyBorder="1"/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5" xfId="0" applyNumberFormat="1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0" fillId="0" borderId="3" xfId="0" applyBorder="1"/>
    <xf numFmtId="0" fontId="3" fillId="0" borderId="3" xfId="0" applyFont="1" applyBorder="1"/>
    <xf numFmtId="8" fontId="0" fillId="0" borderId="6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0" fontId="3" fillId="9" borderId="9" xfId="0" applyFont="1" applyFill="1" applyBorder="1"/>
    <xf numFmtId="44" fontId="0" fillId="9" borderId="10" xfId="1" applyFont="1" applyFill="1" applyBorder="1" applyAlignment="1">
      <alignment horizontal="center"/>
    </xf>
    <xf numFmtId="0" fontId="3" fillId="5" borderId="9" xfId="0" applyFont="1" applyFill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0" fontId="0" fillId="0" borderId="26" xfId="0" applyNumberFormat="1" applyBorder="1" applyAlignment="1">
      <alignment horizontal="center"/>
    </xf>
    <xf numFmtId="0" fontId="0" fillId="3" borderId="1" xfId="0" applyFill="1" applyBorder="1"/>
    <xf numFmtId="44" fontId="0" fillId="3" borderId="2" xfId="0" applyNumberFormat="1" applyFill="1" applyBorder="1" applyAlignment="1">
      <alignment horizontal="center"/>
    </xf>
    <xf numFmtId="0" fontId="15" fillId="11" borderId="5" xfId="0" applyFont="1" applyFill="1" applyBorder="1" applyAlignment="1">
      <alignment vertical="center" wrapText="1"/>
    </xf>
    <xf numFmtId="44" fontId="3" fillId="11" borderId="5" xfId="0" applyNumberFormat="1" applyFont="1" applyFill="1" applyBorder="1" applyAlignment="1"/>
    <xf numFmtId="44" fontId="0" fillId="5" borderId="10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49" fontId="0" fillId="0" borderId="2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0" fillId="0" borderId="5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10" fillId="6" borderId="1" xfId="0" applyNumberFormat="1" applyFont="1" applyFill="1" applyBorder="1" applyAlignment="1">
      <alignment horizontal="center"/>
    </xf>
    <xf numFmtId="14" fontId="10" fillId="6" borderId="20" xfId="0" applyNumberFormat="1" applyFont="1" applyFill="1" applyBorder="1" applyAlignment="1">
      <alignment horizontal="center"/>
    </xf>
    <xf numFmtId="14" fontId="10" fillId="6" borderId="2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4" fontId="10" fillId="6" borderId="3" xfId="0" applyNumberFormat="1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 wrapText="1"/>
    </xf>
    <xf numFmtId="10" fontId="3" fillId="10" borderId="0" xfId="0" applyNumberFormat="1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showGridLines="0" zoomScale="130" zoomScaleNormal="130" workbookViewId="0">
      <selection activeCell="F28" sqref="F28"/>
    </sheetView>
  </sheetViews>
  <sheetFormatPr defaultRowHeight="14.4" x14ac:dyDescent="0.3"/>
  <cols>
    <col min="1" max="1" width="2.77734375" customWidth="1"/>
    <col min="2" max="2" width="31.109375" bestFit="1" customWidth="1"/>
    <col min="3" max="3" width="14.33203125" style="4" bestFit="1" customWidth="1"/>
    <col min="4" max="4" width="11.5546875" customWidth="1"/>
    <col min="5" max="5" width="16.5546875" bestFit="1" customWidth="1"/>
    <col min="6" max="6" width="10.664062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35" t="s">
        <v>51</v>
      </c>
      <c r="C1" s="136"/>
      <c r="D1" s="136"/>
      <c r="E1" s="136"/>
      <c r="F1" s="137"/>
    </row>
    <row r="2" spans="2:6" x14ac:dyDescent="0.3">
      <c r="B2" s="20"/>
      <c r="C2" s="20"/>
      <c r="D2" s="20"/>
      <c r="E2" s="20"/>
      <c r="F2" s="20"/>
    </row>
    <row r="3" spans="2:6" x14ac:dyDescent="0.3">
      <c r="B3" s="32" t="s">
        <v>8</v>
      </c>
      <c r="C3" s="140" t="s">
        <v>57</v>
      </c>
      <c r="D3" s="140"/>
      <c r="E3" s="140"/>
      <c r="F3" s="141"/>
    </row>
    <row r="4" spans="2:6" x14ac:dyDescent="0.3">
      <c r="B4" s="1" t="s">
        <v>32</v>
      </c>
      <c r="C4" s="14" t="s">
        <v>58</v>
      </c>
      <c r="E4" s="16" t="s">
        <v>35</v>
      </c>
      <c r="F4" s="99">
        <v>42045</v>
      </c>
    </row>
    <row r="5" spans="2:6" x14ac:dyDescent="0.3">
      <c r="B5" s="1" t="s">
        <v>7</v>
      </c>
      <c r="C5" s="14" t="s">
        <v>34</v>
      </c>
      <c r="E5" s="18" t="s">
        <v>36</v>
      </c>
      <c r="F5" s="100">
        <v>42114</v>
      </c>
    </row>
    <row r="6" spans="2:6" x14ac:dyDescent="0.3">
      <c r="B6" s="1"/>
      <c r="E6" s="21" t="s">
        <v>39</v>
      </c>
      <c r="F6" s="101">
        <f>EDATE(F5,C18-1)</f>
        <v>43850</v>
      </c>
    </row>
    <row r="7" spans="2:6" x14ac:dyDescent="0.3">
      <c r="B7" s="16" t="s">
        <v>0</v>
      </c>
      <c r="C7" s="17">
        <v>4003.28</v>
      </c>
    </row>
    <row r="8" spans="2:6" x14ac:dyDescent="0.3">
      <c r="B8" s="18" t="s">
        <v>1</v>
      </c>
      <c r="C8" s="83">
        <v>122.89</v>
      </c>
    </row>
    <row r="9" spans="2:6" x14ac:dyDescent="0.3">
      <c r="B9" s="18" t="s">
        <v>2</v>
      </c>
      <c r="C9" s="83">
        <v>20</v>
      </c>
    </row>
    <row r="10" spans="2:6" x14ac:dyDescent="0.3">
      <c r="B10" s="18" t="s">
        <v>3</v>
      </c>
      <c r="C10" s="83">
        <v>0</v>
      </c>
    </row>
    <row r="11" spans="2:6" x14ac:dyDescent="0.3">
      <c r="B11" s="18" t="s">
        <v>4</v>
      </c>
      <c r="C11" s="83">
        <v>0</v>
      </c>
    </row>
    <row r="12" spans="2:6" x14ac:dyDescent="0.3">
      <c r="B12" s="18" t="s">
        <v>4</v>
      </c>
      <c r="C12" s="83">
        <v>0</v>
      </c>
    </row>
    <row r="13" spans="2:6" x14ac:dyDescent="0.3">
      <c r="B13" s="21" t="s">
        <v>4</v>
      </c>
      <c r="C13" s="24">
        <v>0</v>
      </c>
    </row>
    <row r="15" spans="2:6" x14ac:dyDescent="0.3">
      <c r="B15" s="3" t="s">
        <v>5</v>
      </c>
      <c r="C15" s="6">
        <f>SUM(C7:C13)</f>
        <v>4146.17</v>
      </c>
    </row>
    <row r="17" spans="2:6" x14ac:dyDescent="0.3">
      <c r="B17" s="16" t="s">
        <v>9</v>
      </c>
      <c r="C17" s="17">
        <v>136.53</v>
      </c>
    </row>
    <row r="18" spans="2:6" x14ac:dyDescent="0.3">
      <c r="B18" s="18" t="s">
        <v>10</v>
      </c>
      <c r="C18" s="27">
        <v>58</v>
      </c>
    </row>
    <row r="19" spans="2:6" x14ac:dyDescent="0.3">
      <c r="B19" s="21" t="s">
        <v>11</v>
      </c>
      <c r="C19" s="24">
        <f>C17*C18</f>
        <v>7918.74</v>
      </c>
    </row>
    <row r="20" spans="2:6" x14ac:dyDescent="0.3">
      <c r="B20" s="1"/>
      <c r="C20" s="5"/>
      <c r="E20" s="65"/>
      <c r="F20" s="66"/>
    </row>
    <row r="21" spans="2:6" x14ac:dyDescent="0.3">
      <c r="B21" s="16" t="s">
        <v>13</v>
      </c>
      <c r="C21" s="82">
        <v>2.3400000000000001E-2</v>
      </c>
      <c r="D21" s="64"/>
      <c r="E21" s="67"/>
      <c r="F21" s="66"/>
    </row>
    <row r="22" spans="2:6" x14ac:dyDescent="0.3">
      <c r="B22" s="21" t="s">
        <v>14</v>
      </c>
      <c r="C22" s="81">
        <v>0.32019999999999998</v>
      </c>
      <c r="D22" s="63"/>
      <c r="E22" s="68"/>
      <c r="F22" s="66"/>
    </row>
    <row r="23" spans="2:6" x14ac:dyDescent="0.3">
      <c r="B23" s="1"/>
      <c r="C23" s="7"/>
      <c r="E23" s="65"/>
      <c r="F23" s="66"/>
    </row>
    <row r="24" spans="2:6" x14ac:dyDescent="0.3">
      <c r="B24" s="16" t="s">
        <v>15</v>
      </c>
      <c r="C24" s="82">
        <v>2.4899999999999999E-2</v>
      </c>
      <c r="E24" s="69"/>
      <c r="F24" s="66"/>
    </row>
    <row r="25" spans="2:6" x14ac:dyDescent="0.3">
      <c r="B25" s="21" t="s">
        <v>16</v>
      </c>
      <c r="C25" s="81">
        <v>0.34310000000000002</v>
      </c>
      <c r="E25" s="65"/>
      <c r="F25" s="66"/>
    </row>
    <row r="26" spans="2:6" x14ac:dyDescent="0.3">
      <c r="B26" s="30"/>
      <c r="C26" s="31"/>
    </row>
    <row r="27" spans="2:6" x14ac:dyDescent="0.3">
      <c r="B27" s="32" t="s">
        <v>6</v>
      </c>
      <c r="C27" s="33" t="s">
        <v>53</v>
      </c>
    </row>
    <row r="29" spans="2:6" x14ac:dyDescent="0.3">
      <c r="B29" s="34" t="s">
        <v>12</v>
      </c>
      <c r="C29" s="35">
        <f>C19-C7</f>
        <v>3915.4599999999996</v>
      </c>
    </row>
    <row r="32" spans="2:6" x14ac:dyDescent="0.3">
      <c r="B32" s="70"/>
      <c r="C32" s="71"/>
    </row>
    <row r="33" spans="2:9" x14ac:dyDescent="0.3">
      <c r="B33" s="138" t="s">
        <v>55</v>
      </c>
      <c r="C33" s="139"/>
      <c r="G33" s="134" t="s">
        <v>19</v>
      </c>
      <c r="H33" s="134"/>
      <c r="I33" s="12"/>
    </row>
    <row r="34" spans="2:9" x14ac:dyDescent="0.3">
      <c r="B34" s="85">
        <f>RATE(C18,-C17,C15)</f>
        <v>2.5118637913581005E-2</v>
      </c>
      <c r="C34" s="84" t="s">
        <v>56</v>
      </c>
      <c r="G34" s="10" t="s">
        <v>23</v>
      </c>
      <c r="H34" s="11">
        <f>((1+C21)^12)-1</f>
        <v>0.31991192206838748</v>
      </c>
    </row>
    <row r="35" spans="2:9" x14ac:dyDescent="0.3">
      <c r="B35" s="70"/>
      <c r="C35" s="71"/>
    </row>
    <row r="36" spans="2:9" x14ac:dyDescent="0.3">
      <c r="G36" s="10" t="s">
        <v>20</v>
      </c>
      <c r="H36" s="86">
        <f>C21/30</f>
        <v>7.7999999999999999E-4</v>
      </c>
    </row>
    <row r="37" spans="2:9" x14ac:dyDescent="0.3">
      <c r="H37" s="8"/>
    </row>
    <row r="38" spans="2:9" x14ac:dyDescent="0.3">
      <c r="G38" s="132" t="s">
        <v>22</v>
      </c>
      <c r="H38" s="133"/>
    </row>
    <row r="39" spans="2:9" x14ac:dyDescent="0.3">
      <c r="G39" s="87" t="s">
        <v>17</v>
      </c>
      <c r="H39" s="88">
        <f>((1+H36)^30)-1</f>
        <v>2.3666590866373127E-2</v>
      </c>
    </row>
    <row r="40" spans="2:9" x14ac:dyDescent="0.3">
      <c r="G40" s="89" t="s">
        <v>18</v>
      </c>
      <c r="H40" s="90">
        <f>+((1+H39)^12)-1</f>
        <v>0.32404380843985847</v>
      </c>
    </row>
    <row r="42" spans="2:9" x14ac:dyDescent="0.3">
      <c r="G42" s="111" t="s">
        <v>21</v>
      </c>
    </row>
    <row r="43" spans="2:9" ht="43.2" x14ac:dyDescent="0.3">
      <c r="G43" s="110" t="s">
        <v>59</v>
      </c>
    </row>
  </sheetData>
  <mergeCells count="5">
    <mergeCell ref="G38:H38"/>
    <mergeCell ref="G33:H33"/>
    <mergeCell ref="B1:F1"/>
    <mergeCell ref="B33:C33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77"/>
  <sheetViews>
    <sheetView topLeftCell="A61" zoomScale="140" zoomScaleNormal="140" workbookViewId="0">
      <selection activeCell="G66" sqref="G66:G77"/>
    </sheetView>
  </sheetViews>
  <sheetFormatPr defaultRowHeight="14.4" x14ac:dyDescent="0.3"/>
  <cols>
    <col min="1" max="1" width="2.88671875" customWidth="1"/>
    <col min="2" max="2" width="20.6640625" customWidth="1"/>
    <col min="3" max="3" width="14.33203125" style="13" bestFit="1" customWidth="1"/>
    <col min="4" max="4" width="18.6640625" style="2" bestFit="1" customWidth="1"/>
    <col min="5" max="5" width="13.33203125" style="4" bestFit="1" customWidth="1"/>
    <col min="6" max="6" width="16.109375" style="4" customWidth="1"/>
    <col min="7" max="7" width="14.33203125" style="5" bestFit="1" customWidth="1"/>
  </cols>
  <sheetData>
    <row r="1" spans="2:7" ht="17.399999999999999" x14ac:dyDescent="0.35">
      <c r="B1" s="153" t="s">
        <v>40</v>
      </c>
      <c r="C1" s="154"/>
      <c r="D1" s="154"/>
      <c r="E1" s="154"/>
      <c r="F1" s="154"/>
      <c r="G1" s="155"/>
    </row>
    <row r="2" spans="2:7" ht="17.399999999999999" x14ac:dyDescent="0.35">
      <c r="B2" s="58"/>
      <c r="C2" s="58"/>
      <c r="D2" s="58"/>
      <c r="E2" s="58"/>
      <c r="F2" s="58"/>
      <c r="G2" s="58"/>
    </row>
    <row r="3" spans="2:7" x14ac:dyDescent="0.3">
      <c r="B3" s="16" t="s">
        <v>30</v>
      </c>
      <c r="C3" s="147" t="str">
        <f>'DADOS DO CONTRATO E CAPITALIZ'!C3</f>
        <v>XXXXXXXX</v>
      </c>
      <c r="D3" s="148"/>
      <c r="E3" s="148"/>
      <c r="F3" s="148"/>
      <c r="G3" s="149"/>
    </row>
    <row r="4" spans="2:7" x14ac:dyDescent="0.3">
      <c r="B4" s="18" t="s">
        <v>31</v>
      </c>
      <c r="C4" s="150" t="str">
        <f>'DADOS DO CONTRATO E CAPITALIZ'!C4</f>
        <v>SANTANDER</v>
      </c>
      <c r="D4" s="151"/>
      <c r="E4" s="151"/>
      <c r="F4" s="151"/>
      <c r="G4" s="152"/>
    </row>
    <row r="5" spans="2:7" x14ac:dyDescent="0.3">
      <c r="B5" s="21" t="s">
        <v>33</v>
      </c>
      <c r="C5" s="25" t="str">
        <f>'DADOS DO CONTRATO E CAPITALIZ'!C5</f>
        <v>0000</v>
      </c>
      <c r="D5" s="22"/>
      <c r="E5" s="72" t="s">
        <v>38</v>
      </c>
      <c r="F5" s="23"/>
      <c r="G5" s="26">
        <f>'DADOS DO CONTRATO E CAPITALIZ'!F4</f>
        <v>42045</v>
      </c>
    </row>
    <row r="6" spans="2:7" x14ac:dyDescent="0.3">
      <c r="B6" s="1"/>
      <c r="D6" s="15"/>
    </row>
    <row r="7" spans="2:7" x14ac:dyDescent="0.3">
      <c r="B7" s="36" t="s">
        <v>0</v>
      </c>
      <c r="C7" s="37">
        <f>'DADOS DO CONTRATO E CAPITALIZ'!C7</f>
        <v>4003.28</v>
      </c>
      <c r="D7" s="15"/>
      <c r="E7" s="145" t="s">
        <v>9</v>
      </c>
      <c r="F7" s="146"/>
      <c r="G7" s="37">
        <f>'DADOS DO CONTRATO E CAPITALIZ'!C17</f>
        <v>136.53</v>
      </c>
    </row>
    <row r="8" spans="2:7" x14ac:dyDescent="0.3">
      <c r="B8" s="38" t="s">
        <v>1</v>
      </c>
      <c r="C8" s="39">
        <f>'DADOS DO CONTRATO E CAPITALIZ'!C8</f>
        <v>122.89</v>
      </c>
      <c r="D8" s="15"/>
      <c r="E8" s="156" t="s">
        <v>10</v>
      </c>
      <c r="F8" s="157"/>
      <c r="G8" s="46">
        <f>'DADOS DO CONTRATO E CAPITALIZ'!C18</f>
        <v>58</v>
      </c>
    </row>
    <row r="9" spans="2:7" x14ac:dyDescent="0.3">
      <c r="B9" s="38" t="s">
        <v>2</v>
      </c>
      <c r="C9" s="39">
        <f>'DADOS DO CONTRATO E CAPITALIZ'!C9</f>
        <v>20</v>
      </c>
      <c r="D9" s="15"/>
      <c r="E9" s="143" t="s">
        <v>37</v>
      </c>
      <c r="F9" s="144"/>
      <c r="G9" s="47">
        <f>'DADOS DO CONTRATO E CAPITALIZ'!C19</f>
        <v>7918.74</v>
      </c>
    </row>
    <row r="10" spans="2:7" x14ac:dyDescent="0.3">
      <c r="B10" s="38" t="s">
        <v>3</v>
      </c>
      <c r="C10" s="39">
        <f>'DADOS DO CONTRATO E CAPITALIZ'!C10</f>
        <v>0</v>
      </c>
      <c r="D10" s="15"/>
    </row>
    <row r="11" spans="2:7" x14ac:dyDescent="0.3">
      <c r="B11" s="38" t="s">
        <v>4</v>
      </c>
      <c r="C11" s="39">
        <f>'DADOS DO CONTRATO E CAPITALIZ'!C11</f>
        <v>0</v>
      </c>
      <c r="D11" s="15"/>
      <c r="E11" s="145" t="s">
        <v>13</v>
      </c>
      <c r="F11" s="146"/>
      <c r="G11" s="44">
        <f>'DADOS DO CONTRATO E CAPITALIZ'!C21</f>
        <v>2.3400000000000001E-2</v>
      </c>
    </row>
    <row r="12" spans="2:7" x14ac:dyDescent="0.3">
      <c r="B12" s="38" t="s">
        <v>4</v>
      </c>
      <c r="C12" s="39">
        <f>'DADOS DO CONTRATO E CAPITALIZ'!C12</f>
        <v>0</v>
      </c>
      <c r="D12" s="15"/>
      <c r="E12" s="143" t="s">
        <v>14</v>
      </c>
      <c r="F12" s="144"/>
      <c r="G12" s="45">
        <f>'DADOS DO CONTRATO E CAPITALIZ'!C22</f>
        <v>0.32019999999999998</v>
      </c>
    </row>
    <row r="13" spans="2:7" x14ac:dyDescent="0.3">
      <c r="B13" s="38" t="s">
        <v>4</v>
      </c>
      <c r="C13" s="39">
        <f>'DADOS DO CONTRATO E CAPITALIZ'!C13</f>
        <v>0</v>
      </c>
      <c r="D13" s="15"/>
      <c r="E13" s="145" t="s">
        <v>15</v>
      </c>
      <c r="F13" s="146"/>
      <c r="G13" s="44">
        <f>'DADOS DO CONTRATO E CAPITALIZ'!C24</f>
        <v>2.4899999999999999E-2</v>
      </c>
    </row>
    <row r="14" spans="2:7" x14ac:dyDescent="0.3">
      <c r="B14" s="40" t="s">
        <v>5</v>
      </c>
      <c r="C14" s="41">
        <f>SUM(C7:C13)</f>
        <v>4146.17</v>
      </c>
      <c r="D14" s="15"/>
      <c r="E14" s="143" t="s">
        <v>16</v>
      </c>
      <c r="F14" s="144"/>
      <c r="G14" s="45">
        <f>'DADOS DO CONTRATO E CAPITALIZ'!C25</f>
        <v>0.34310000000000002</v>
      </c>
    </row>
    <row r="15" spans="2:7" x14ac:dyDescent="0.3">
      <c r="B15" s="42" t="s">
        <v>36</v>
      </c>
      <c r="C15" s="43">
        <f>'DADOS DO CONTRATO E CAPITALIZ'!F5</f>
        <v>42114</v>
      </c>
      <c r="D15" s="15"/>
    </row>
    <row r="17" spans="2:7" x14ac:dyDescent="0.3">
      <c r="B17" s="142" t="s">
        <v>41</v>
      </c>
      <c r="C17" s="142"/>
      <c r="D17" s="142"/>
      <c r="E17" s="142"/>
      <c r="F17" s="142"/>
      <c r="G17" s="142"/>
    </row>
    <row r="18" spans="2:7" s="4" customFormat="1" x14ac:dyDescent="0.3">
      <c r="B18" s="48" t="s">
        <v>24</v>
      </c>
      <c r="C18" s="49" t="s">
        <v>25</v>
      </c>
      <c r="D18" s="50" t="s">
        <v>26</v>
      </c>
      <c r="E18" s="51" t="s">
        <v>27</v>
      </c>
      <c r="F18" s="51" t="s">
        <v>28</v>
      </c>
      <c r="G18" s="37" t="s">
        <v>29</v>
      </c>
    </row>
    <row r="19" spans="2:7" x14ac:dyDescent="0.3">
      <c r="B19" s="52">
        <v>0</v>
      </c>
      <c r="C19" s="53">
        <f>'DADOS DO CONTRATO E CAPITALIZ'!F4</f>
        <v>42045</v>
      </c>
      <c r="D19" s="54"/>
      <c r="E19" s="55"/>
      <c r="F19" s="55"/>
      <c r="G19" s="39">
        <f>'DADOS DO CONTRATO E CAPITALIZ'!C15</f>
        <v>4146.17</v>
      </c>
    </row>
    <row r="20" spans="2:7" x14ac:dyDescent="0.3">
      <c r="B20" s="52">
        <v>1</v>
      </c>
      <c r="C20" s="53">
        <f>C15</f>
        <v>42114</v>
      </c>
      <c r="D20" s="54">
        <f>G7</f>
        <v>136.53</v>
      </c>
      <c r="E20" s="56">
        <f>G19*'DADOS DO CONTRATO E CAPITALIZ'!$B$34</f>
        <v>104.14614295815215</v>
      </c>
      <c r="F20" s="56">
        <f>D20-E20</f>
        <v>32.383857041847847</v>
      </c>
      <c r="G20" s="39">
        <f>G19-F20</f>
        <v>4113.7861429581526</v>
      </c>
    </row>
    <row r="21" spans="2:7" x14ac:dyDescent="0.3">
      <c r="B21" s="52">
        <v>2</v>
      </c>
      <c r="C21" s="53">
        <f>EDATE(C20,1)</f>
        <v>42144</v>
      </c>
      <c r="D21" s="54">
        <f>D20</f>
        <v>136.53</v>
      </c>
      <c r="E21" s="56">
        <f>G20*'DADOS DO CONTRATO E CAPITALIZ'!$B$34</f>
        <v>103.33270457887282</v>
      </c>
      <c r="F21" s="56">
        <f t="shared" ref="F21:F77" si="0">D21-E21</f>
        <v>33.19729542112718</v>
      </c>
      <c r="G21" s="39">
        <f t="shared" ref="G21:G30" si="1">G20-F21</f>
        <v>4080.5888475370252</v>
      </c>
    </row>
    <row r="22" spans="2:7" x14ac:dyDescent="0.3">
      <c r="B22" s="52">
        <v>3</v>
      </c>
      <c r="C22" s="53">
        <f t="shared" ref="C22:C77" si="2">EDATE(C21,1)</f>
        <v>42175</v>
      </c>
      <c r="D22" s="54">
        <f t="shared" ref="D22:D77" si="3">D21</f>
        <v>136.53</v>
      </c>
      <c r="E22" s="56">
        <f>G21*'DADOS DO CONTRATO E CAPITALIZ'!$B$34</f>
        <v>102.49883373547934</v>
      </c>
      <c r="F22" s="56">
        <f t="shared" si="0"/>
        <v>34.031166264520664</v>
      </c>
      <c r="G22" s="39">
        <f t="shared" si="1"/>
        <v>4046.5576812725044</v>
      </c>
    </row>
    <row r="23" spans="2:7" x14ac:dyDescent="0.3">
      <c r="B23" s="52">
        <v>4</v>
      </c>
      <c r="C23" s="53">
        <f t="shared" si="2"/>
        <v>42205</v>
      </c>
      <c r="D23" s="54">
        <f t="shared" si="3"/>
        <v>136.53</v>
      </c>
      <c r="E23" s="56">
        <f>G22*'DADOS DO CONTRATO E CAPITALIZ'!$B$34</f>
        <v>101.64401719230398</v>
      </c>
      <c r="F23" s="56">
        <f t="shared" si="0"/>
        <v>34.885982807696024</v>
      </c>
      <c r="G23" s="39">
        <f t="shared" si="1"/>
        <v>4011.6716984648083</v>
      </c>
    </row>
    <row r="24" spans="2:7" x14ac:dyDescent="0.3">
      <c r="B24" s="52">
        <v>5</v>
      </c>
      <c r="C24" s="53">
        <f t="shared" si="2"/>
        <v>42236</v>
      </c>
      <c r="D24" s="54">
        <f t="shared" si="3"/>
        <v>136.53</v>
      </c>
      <c r="E24" s="56">
        <f>G23*'DADOS DO CONTRATO E CAPITALIZ'!$B$34</f>
        <v>100.76772882189805</v>
      </c>
      <c r="F24" s="56">
        <f t="shared" si="0"/>
        <v>35.762271178101955</v>
      </c>
      <c r="G24" s="39">
        <f t="shared" si="1"/>
        <v>3975.9094272867064</v>
      </c>
    </row>
    <row r="25" spans="2:7" x14ac:dyDescent="0.3">
      <c r="B25" s="52">
        <v>6</v>
      </c>
      <c r="C25" s="53">
        <f t="shared" si="2"/>
        <v>42267</v>
      </c>
      <c r="D25" s="54">
        <f t="shared" si="3"/>
        <v>136.53</v>
      </c>
      <c r="E25" s="56">
        <f>G24*'DADOS DO CONTRATO E CAPITALIZ'!$B$34</f>
        <v>99.869429281207999</v>
      </c>
      <c r="F25" s="56">
        <f t="shared" si="0"/>
        <v>36.660570718792002</v>
      </c>
      <c r="G25" s="39">
        <f t="shared" si="1"/>
        <v>3939.2488565679146</v>
      </c>
    </row>
    <row r="26" spans="2:7" x14ac:dyDescent="0.3">
      <c r="B26" s="52">
        <v>7</v>
      </c>
      <c r="C26" s="53">
        <f t="shared" si="2"/>
        <v>42297</v>
      </c>
      <c r="D26" s="54">
        <f t="shared" si="3"/>
        <v>136.53</v>
      </c>
      <c r="E26" s="56">
        <f>G25*'DADOS DO CONTRATO E CAPITALIZ'!$B$34</f>
        <v>98.948565679617445</v>
      </c>
      <c r="F26" s="56">
        <f t="shared" si="0"/>
        <v>37.581434320382556</v>
      </c>
      <c r="G26" s="39">
        <f t="shared" si="1"/>
        <v>3901.6674222475322</v>
      </c>
    </row>
    <row r="27" spans="2:7" x14ac:dyDescent="0.3">
      <c r="B27" s="52">
        <v>8</v>
      </c>
      <c r="C27" s="53">
        <f t="shared" si="2"/>
        <v>42328</v>
      </c>
      <c r="D27" s="54">
        <f t="shared" si="3"/>
        <v>136.53</v>
      </c>
      <c r="E27" s="56">
        <f>G26*'DADOS DO CONTRATO E CAPITALIZ'!$B$34</f>
        <v>98.004571238650726</v>
      </c>
      <c r="F27" s="56">
        <f t="shared" si="0"/>
        <v>38.525428761349275</v>
      </c>
      <c r="G27" s="39">
        <f t="shared" si="1"/>
        <v>3863.1419934861829</v>
      </c>
    </row>
    <row r="28" spans="2:7" x14ac:dyDescent="0.3">
      <c r="B28" s="52">
        <v>9</v>
      </c>
      <c r="C28" s="53">
        <f t="shared" si="2"/>
        <v>42358</v>
      </c>
      <c r="D28" s="54">
        <f t="shared" si="3"/>
        <v>136.53</v>
      </c>
      <c r="E28" s="56">
        <f>G27*'DADOS DO CONTRATO E CAPITALIZ'!$B$34</f>
        <v>97.036864943128933</v>
      </c>
      <c r="F28" s="56">
        <f t="shared" si="0"/>
        <v>39.493135056871068</v>
      </c>
      <c r="G28" s="39">
        <f t="shared" si="1"/>
        <v>3823.648858429312</v>
      </c>
    </row>
    <row r="29" spans="2:7" x14ac:dyDescent="0.3">
      <c r="B29" s="52">
        <v>10</v>
      </c>
      <c r="C29" s="53">
        <f t="shared" si="2"/>
        <v>42389</v>
      </c>
      <c r="D29" s="54">
        <f t="shared" si="3"/>
        <v>136.53</v>
      </c>
      <c r="E29" s="56">
        <f>G28*'DADOS DO CONTRATO E CAPITALIZ'!$B$34</f>
        <v>96.044851183563239</v>
      </c>
      <c r="F29" s="56">
        <f t="shared" si="0"/>
        <v>40.485148816436762</v>
      </c>
      <c r="G29" s="59">
        <f t="shared" si="1"/>
        <v>3783.1637096128752</v>
      </c>
    </row>
    <row r="30" spans="2:7" x14ac:dyDescent="0.3">
      <c r="B30" s="52">
        <v>11</v>
      </c>
      <c r="C30" s="53">
        <f t="shared" si="2"/>
        <v>42420</v>
      </c>
      <c r="D30" s="54">
        <f t="shared" si="3"/>
        <v>136.53</v>
      </c>
      <c r="E30" s="56">
        <f>G29*'DADOS DO CONTRATO E CAPITALIZ'!$B$34</f>
        <v>95.027919389565724</v>
      </c>
      <c r="F30" s="56">
        <f t="shared" si="0"/>
        <v>41.502080610434277</v>
      </c>
      <c r="G30" s="39">
        <f t="shared" si="1"/>
        <v>3741.6616290024408</v>
      </c>
    </row>
    <row r="31" spans="2:7" x14ac:dyDescent="0.3">
      <c r="B31" s="52">
        <v>12</v>
      </c>
      <c r="C31" s="53">
        <f t="shared" si="2"/>
        <v>42449</v>
      </c>
      <c r="D31" s="54">
        <f t="shared" si="3"/>
        <v>136.53</v>
      </c>
      <c r="E31" s="56">
        <f>G30*'DADOS DO CONTRATO E CAPITALIZ'!$B$34</f>
        <v>93.985443654051977</v>
      </c>
      <c r="F31" s="56">
        <f t="shared" si="0"/>
        <v>42.544556345948024</v>
      </c>
      <c r="G31" s="59">
        <f>G30-F31</f>
        <v>3699.1170726564928</v>
      </c>
    </row>
    <row r="32" spans="2:7" x14ac:dyDescent="0.3">
      <c r="B32" s="52">
        <v>13</v>
      </c>
      <c r="C32" s="53">
        <f t="shared" si="2"/>
        <v>42480</v>
      </c>
      <c r="D32" s="54">
        <f t="shared" si="3"/>
        <v>136.53</v>
      </c>
      <c r="E32" s="56">
        <f>G31*'DADOS DO CONTRATO E CAPITALIZ'!$B$34</f>
        <v>92.916782348004162</v>
      </c>
      <c r="F32" s="56">
        <f t="shared" si="0"/>
        <v>43.613217651995839</v>
      </c>
      <c r="G32" s="59">
        <f>G31-F32</f>
        <v>3655.5038550044969</v>
      </c>
    </row>
    <row r="33" spans="2:7" x14ac:dyDescent="0.3">
      <c r="B33" s="52">
        <v>14</v>
      </c>
      <c r="C33" s="53">
        <f t="shared" si="2"/>
        <v>42510</v>
      </c>
      <c r="D33" s="54">
        <f t="shared" si="3"/>
        <v>136.53</v>
      </c>
      <c r="E33" s="56">
        <f>G32*'DADOS DO CONTRATO E CAPITALIZ'!$B$34</f>
        <v>91.821277725557479</v>
      </c>
      <c r="F33" s="56">
        <f t="shared" si="0"/>
        <v>44.708722274442522</v>
      </c>
      <c r="G33" s="59">
        <f t="shared" ref="G33:G38" si="4">G32-F33</f>
        <v>3610.7951327300543</v>
      </c>
    </row>
    <row r="34" spans="2:7" x14ac:dyDescent="0.3">
      <c r="B34" s="52">
        <v>15</v>
      </c>
      <c r="C34" s="53">
        <f t="shared" si="2"/>
        <v>42541</v>
      </c>
      <c r="D34" s="54">
        <f t="shared" si="3"/>
        <v>136.53</v>
      </c>
      <c r="E34" s="56">
        <f>G33*'DADOS DO CONTRATO E CAPITALIZ'!$B$34</f>
        <v>90.698255519166906</v>
      </c>
      <c r="F34" s="56">
        <f t="shared" si="0"/>
        <v>45.831744480833095</v>
      </c>
      <c r="G34" s="59">
        <f t="shared" si="4"/>
        <v>3564.9633882492212</v>
      </c>
    </row>
    <row r="35" spans="2:7" x14ac:dyDescent="0.3">
      <c r="B35" s="52">
        <v>16</v>
      </c>
      <c r="C35" s="53">
        <f t="shared" si="2"/>
        <v>42571</v>
      </c>
      <c r="D35" s="54">
        <f t="shared" si="3"/>
        <v>136.53</v>
      </c>
      <c r="E35" s="56">
        <f>G34*'DADOS DO CONTRATO E CAPITALIZ'!$B$34</f>
        <v>89.547024524605092</v>
      </c>
      <c r="F35" s="56">
        <f t="shared" si="0"/>
        <v>46.982975475394909</v>
      </c>
      <c r="G35" s="59">
        <f t="shared" si="4"/>
        <v>3517.9804127738262</v>
      </c>
    </row>
    <row r="36" spans="2:7" x14ac:dyDescent="0.3">
      <c r="B36" s="52">
        <v>17</v>
      </c>
      <c r="C36" s="53">
        <f t="shared" si="2"/>
        <v>42602</v>
      </c>
      <c r="D36" s="54">
        <f t="shared" si="3"/>
        <v>136.53</v>
      </c>
      <c r="E36" s="56">
        <f>G35*'DADOS DO CONTRATO E CAPITALIZ'!$B$34</f>
        <v>88.366876175535978</v>
      </c>
      <c r="F36" s="56">
        <f t="shared" si="0"/>
        <v>48.163123824464023</v>
      </c>
      <c r="G36" s="59">
        <f t="shared" si="4"/>
        <v>3469.8172889493621</v>
      </c>
    </row>
    <row r="37" spans="2:7" x14ac:dyDescent="0.3">
      <c r="B37" s="52">
        <v>18</v>
      </c>
      <c r="C37" s="53">
        <f t="shared" si="2"/>
        <v>42633</v>
      </c>
      <c r="D37" s="54">
        <f t="shared" si="3"/>
        <v>136.53</v>
      </c>
      <c r="E37" s="56">
        <f>G36*'DADOS DO CONTRATO E CAPITALIZ'!$B$34</f>
        <v>87.157084107402312</v>
      </c>
      <c r="F37" s="56">
        <f t="shared" si="0"/>
        <v>49.372915892597689</v>
      </c>
      <c r="G37" s="59">
        <f t="shared" si="4"/>
        <v>3420.4443730567646</v>
      </c>
    </row>
    <row r="38" spans="2:7" x14ac:dyDescent="0.3">
      <c r="B38" s="52">
        <v>19</v>
      </c>
      <c r="C38" s="53">
        <f t="shared" si="2"/>
        <v>42663</v>
      </c>
      <c r="D38" s="54">
        <f t="shared" si="3"/>
        <v>136.53</v>
      </c>
      <c r="E38" s="56">
        <f>G37*'DADOS DO CONTRATO E CAPITALIZ'!$B$34</f>
        <v>85.916903710358454</v>
      </c>
      <c r="F38" s="56">
        <f t="shared" si="0"/>
        <v>50.613096289641547</v>
      </c>
      <c r="G38" s="59">
        <f t="shared" si="4"/>
        <v>3369.8312767671232</v>
      </c>
    </row>
    <row r="39" spans="2:7" x14ac:dyDescent="0.3">
      <c r="B39" s="52">
        <v>20</v>
      </c>
      <c r="C39" s="53">
        <f t="shared" si="2"/>
        <v>42694</v>
      </c>
      <c r="D39" s="54">
        <f t="shared" si="3"/>
        <v>136.53</v>
      </c>
      <c r="E39" s="56">
        <f>G38*'DADOS DO CONTRATO E CAPITALIZ'!$B$34</f>
        <v>84.645571670973752</v>
      </c>
      <c r="F39" s="56">
        <f t="shared" si="0"/>
        <v>51.88442832902625</v>
      </c>
      <c r="G39" s="59">
        <f t="shared" ref="G39:G57" si="5">G38-F39</f>
        <v>3317.9468484380968</v>
      </c>
    </row>
    <row r="40" spans="2:7" x14ac:dyDescent="0.3">
      <c r="B40" s="52">
        <v>21</v>
      </c>
      <c r="C40" s="53">
        <f t="shared" si="2"/>
        <v>42724</v>
      </c>
      <c r="D40" s="54">
        <f t="shared" si="3"/>
        <v>136.53</v>
      </c>
      <c r="E40" s="56">
        <f>G39*'DADOS DO CONTRATO E CAPITALIZ'!$B$34</f>
        <v>83.342305502423784</v>
      </c>
      <c r="F40" s="56">
        <f t="shared" si="0"/>
        <v>53.187694497576217</v>
      </c>
      <c r="G40" s="59">
        <f t="shared" si="5"/>
        <v>3264.7591539405207</v>
      </c>
    </row>
    <row r="41" spans="2:7" x14ac:dyDescent="0.3">
      <c r="B41" s="52">
        <v>22</v>
      </c>
      <c r="C41" s="53">
        <f t="shared" si="2"/>
        <v>42755</v>
      </c>
      <c r="D41" s="54">
        <f t="shared" si="3"/>
        <v>136.53</v>
      </c>
      <c r="E41" s="56">
        <f>G40*'DADOS DO CONTRATO E CAPITALIZ'!$B$34</f>
        <v>82.006303062881003</v>
      </c>
      <c r="F41" s="56">
        <f t="shared" si="0"/>
        <v>54.523696937118999</v>
      </c>
      <c r="G41" s="59">
        <f t="shared" si="5"/>
        <v>3210.2354570034017</v>
      </c>
    </row>
    <row r="42" spans="2:7" x14ac:dyDescent="0.3">
      <c r="B42" s="52">
        <v>23</v>
      </c>
      <c r="C42" s="53">
        <f t="shared" si="2"/>
        <v>42786</v>
      </c>
      <c r="D42" s="54">
        <f t="shared" si="3"/>
        <v>136.53</v>
      </c>
      <c r="E42" s="56">
        <f>G41*'DADOS DO CONTRATO E CAPITALIZ'!$B$34</f>
        <v>80.636742061807695</v>
      </c>
      <c r="F42" s="56">
        <f t="shared" si="0"/>
        <v>55.893257938192306</v>
      </c>
      <c r="G42" s="59">
        <f t="shared" si="5"/>
        <v>3154.3421990652096</v>
      </c>
    </row>
    <row r="43" spans="2:7" x14ac:dyDescent="0.3">
      <c r="B43" s="52">
        <v>24</v>
      </c>
      <c r="C43" s="53">
        <f t="shared" si="2"/>
        <v>42814</v>
      </c>
      <c r="D43" s="54">
        <f t="shared" si="3"/>
        <v>136.53</v>
      </c>
      <c r="E43" s="56">
        <f>G42*'DADOS DO CONTRATO E CAPITALIZ'!$B$34</f>
        <v>79.232779553847863</v>
      </c>
      <c r="F43" s="56">
        <f t="shared" si="0"/>
        <v>57.297220446152139</v>
      </c>
      <c r="G43" s="59">
        <f t="shared" si="5"/>
        <v>3097.0449786190575</v>
      </c>
    </row>
    <row r="44" spans="2:7" x14ac:dyDescent="0.3">
      <c r="B44" s="52">
        <v>25</v>
      </c>
      <c r="C44" s="53">
        <f t="shared" si="2"/>
        <v>42845</v>
      </c>
      <c r="D44" s="54">
        <f t="shared" si="3"/>
        <v>136.53</v>
      </c>
      <c r="E44" s="56">
        <f>G43*'DADOS DO CONTRATO E CAPITALIZ'!$B$34</f>
        <v>77.793551420006324</v>
      </c>
      <c r="F44" s="56">
        <f t="shared" si="0"/>
        <v>58.736448579993677</v>
      </c>
      <c r="G44" s="59">
        <f t="shared" si="5"/>
        <v>3038.308530039064</v>
      </c>
    </row>
    <row r="45" spans="2:7" x14ac:dyDescent="0.3">
      <c r="B45" s="52">
        <v>26</v>
      </c>
      <c r="C45" s="53">
        <f t="shared" si="2"/>
        <v>42875</v>
      </c>
      <c r="D45" s="54">
        <f t="shared" si="3"/>
        <v>136.53</v>
      </c>
      <c r="E45" s="56">
        <f>G44*'DADOS DO CONTRATO E CAPITALIZ'!$B$34</f>
        <v>76.318171835795809</v>
      </c>
      <c r="F45" s="56">
        <f t="shared" si="0"/>
        <v>60.211828164204192</v>
      </c>
      <c r="G45" s="59">
        <f t="shared" si="5"/>
        <v>2978.0967018748597</v>
      </c>
    </row>
    <row r="46" spans="2:7" x14ac:dyDescent="0.3">
      <c r="B46" s="52">
        <v>27</v>
      </c>
      <c r="C46" s="53">
        <f t="shared" si="2"/>
        <v>42906</v>
      </c>
      <c r="D46" s="54">
        <f t="shared" si="3"/>
        <v>136.53</v>
      </c>
      <c r="E46" s="56">
        <f>G45*'DADOS DO CONTRATO E CAPITALIZ'!$B$34</f>
        <v>74.805732726024402</v>
      </c>
      <c r="F46" s="56">
        <f t="shared" si="0"/>
        <v>61.724267273975599</v>
      </c>
      <c r="G46" s="59">
        <f t="shared" si="5"/>
        <v>2916.3724346008839</v>
      </c>
    </row>
    <row r="47" spans="2:7" x14ac:dyDescent="0.3">
      <c r="B47" s="52">
        <v>28</v>
      </c>
      <c r="C47" s="53">
        <f t="shared" si="2"/>
        <v>42936</v>
      </c>
      <c r="D47" s="54">
        <f t="shared" si="3"/>
        <v>136.53</v>
      </c>
      <c r="E47" s="56">
        <f>G46*'DADOS DO CONTRATO E CAPITALIZ'!$B$34</f>
        <v>73.25530320588831</v>
      </c>
      <c r="F47" s="56">
        <f t="shared" si="0"/>
        <v>63.274696794111691</v>
      </c>
      <c r="G47" s="59">
        <f t="shared" si="5"/>
        <v>2853.0977378067723</v>
      </c>
    </row>
    <row r="48" spans="2:7" x14ac:dyDescent="0.3">
      <c r="B48" s="52">
        <v>29</v>
      </c>
      <c r="C48" s="53">
        <f t="shared" si="2"/>
        <v>42967</v>
      </c>
      <c r="D48" s="54">
        <f t="shared" si="3"/>
        <v>136.53</v>
      </c>
      <c r="E48" s="56">
        <f>G47*'DADOS DO CONTRATO E CAPITALIZ'!$B$34</f>
        <v>71.665929008025387</v>
      </c>
      <c r="F48" s="56">
        <f t="shared" si="0"/>
        <v>64.864070991974614</v>
      </c>
      <c r="G48" s="59">
        <f t="shared" si="5"/>
        <v>2788.2336668147977</v>
      </c>
    </row>
    <row r="49" spans="2:7" x14ac:dyDescent="0.3">
      <c r="B49" s="52">
        <v>30</v>
      </c>
      <c r="C49" s="53">
        <f t="shared" si="2"/>
        <v>42998</v>
      </c>
      <c r="D49" s="54">
        <f t="shared" si="3"/>
        <v>136.53</v>
      </c>
      <c r="E49" s="56">
        <f>G48*'DADOS DO CONTRATO E CAPITALIZ'!$B$34</f>
        <v>70.036631895177166</v>
      </c>
      <c r="F49" s="56">
        <f t="shared" si="0"/>
        <v>66.493368104822835</v>
      </c>
      <c r="G49" s="59">
        <f t="shared" si="5"/>
        <v>2721.7402987099749</v>
      </c>
    </row>
    <row r="50" spans="2:7" x14ac:dyDescent="0.3">
      <c r="B50" s="52">
        <v>31</v>
      </c>
      <c r="C50" s="53">
        <f t="shared" si="2"/>
        <v>43028</v>
      </c>
      <c r="D50" s="54">
        <f t="shared" si="3"/>
        <v>136.53</v>
      </c>
      <c r="E50" s="56">
        <f>G49*'DADOS DO CONTRATO E CAPITALIZ'!$B$34</f>
        <v>68.366409058097673</v>
      </c>
      <c r="F50" s="56">
        <f t="shared" si="0"/>
        <v>68.163590941902328</v>
      </c>
      <c r="G50" s="59">
        <f t="shared" si="5"/>
        <v>2653.5767077680725</v>
      </c>
    </row>
    <row r="51" spans="2:7" x14ac:dyDescent="0.3">
      <c r="B51" s="52">
        <v>32</v>
      </c>
      <c r="C51" s="53">
        <f t="shared" si="2"/>
        <v>43059</v>
      </c>
      <c r="D51" s="54">
        <f t="shared" si="3"/>
        <v>136.53</v>
      </c>
      <c r="E51" s="56">
        <f>G50*'DADOS DO CONTRATO E CAPITALIZ'!$B$34</f>
        <v>66.654232498338573</v>
      </c>
      <c r="F51" s="56">
        <f t="shared" si="0"/>
        <v>69.875767501661429</v>
      </c>
      <c r="G51" s="59">
        <f t="shared" si="5"/>
        <v>2583.7009402664112</v>
      </c>
    </row>
    <row r="52" spans="2:7" x14ac:dyDescent="0.3">
      <c r="B52" s="52">
        <v>33</v>
      </c>
      <c r="C52" s="53">
        <f t="shared" si="2"/>
        <v>43089</v>
      </c>
      <c r="D52" s="54">
        <f t="shared" si="3"/>
        <v>136.53</v>
      </c>
      <c r="E52" s="56">
        <f>G51*'DADOS DO CONTRATO E CAPITALIZ'!$B$34</f>
        <v>64.89904839553077</v>
      </c>
      <c r="F52" s="56">
        <f t="shared" si="0"/>
        <v>71.630951604469232</v>
      </c>
      <c r="G52" s="59">
        <f t="shared" si="5"/>
        <v>2512.0699886619418</v>
      </c>
    </row>
    <row r="53" spans="2:7" x14ac:dyDescent="0.3">
      <c r="B53" s="52">
        <v>34</v>
      </c>
      <c r="C53" s="53">
        <f t="shared" si="2"/>
        <v>43120</v>
      </c>
      <c r="D53" s="54">
        <f t="shared" si="3"/>
        <v>136.53</v>
      </c>
      <c r="E53" s="56">
        <f>G52*'DADOS DO CONTRATO E CAPITALIZ'!$B$34</f>
        <v>63.099776458772858</v>
      </c>
      <c r="F53" s="56">
        <f t="shared" si="0"/>
        <v>73.43022354122715</v>
      </c>
      <c r="G53" s="59">
        <f t="shared" si="5"/>
        <v>2438.6397651207149</v>
      </c>
    </row>
    <row r="54" spans="2:7" x14ac:dyDescent="0.3">
      <c r="B54" s="52">
        <v>35</v>
      </c>
      <c r="C54" s="53">
        <f t="shared" si="2"/>
        <v>43151</v>
      </c>
      <c r="D54" s="54">
        <f t="shared" si="3"/>
        <v>136.53</v>
      </c>
      <c r="E54" s="56">
        <f>G53*'DADOS DO CONTRATO E CAPITALIZ'!$B$34</f>
        <v>61.255309261727469</v>
      </c>
      <c r="F54" s="56">
        <f t="shared" si="0"/>
        <v>75.27469073827254</v>
      </c>
      <c r="G54" s="59">
        <f t="shared" si="5"/>
        <v>2363.3650743824423</v>
      </c>
    </row>
    <row r="55" spans="2:7" x14ac:dyDescent="0.3">
      <c r="B55" s="57">
        <v>36</v>
      </c>
      <c r="C55" s="53">
        <f t="shared" si="2"/>
        <v>43179</v>
      </c>
      <c r="D55" s="54">
        <f t="shared" si="3"/>
        <v>136.53</v>
      </c>
      <c r="E55" s="56">
        <f>G54*'DADOS DO CONTRATO E CAPITALIZ'!$B$34</f>
        <v>59.364511561016009</v>
      </c>
      <c r="F55" s="56">
        <f t="shared" si="0"/>
        <v>77.165488438983999</v>
      </c>
      <c r="G55" s="59">
        <f t="shared" si="5"/>
        <v>2286.1995859434583</v>
      </c>
    </row>
    <row r="56" spans="2:7" x14ac:dyDescent="0.3">
      <c r="B56" s="52">
        <v>37</v>
      </c>
      <c r="C56" s="53">
        <f t="shared" si="2"/>
        <v>43210</v>
      </c>
      <c r="D56" s="54">
        <f t="shared" si="3"/>
        <v>136.53</v>
      </c>
      <c r="E56" s="56">
        <f>G55*'DADOS DO CONTRATO E CAPITALIZ'!$B$34</f>
        <v>57.426219597492548</v>
      </c>
      <c r="F56" s="56">
        <f t="shared" si="0"/>
        <v>79.103780402507454</v>
      </c>
      <c r="G56" s="59">
        <f t="shared" si="5"/>
        <v>2207.095805540951</v>
      </c>
    </row>
    <row r="57" spans="2:7" x14ac:dyDescent="0.3">
      <c r="B57" s="52">
        <v>38</v>
      </c>
      <c r="C57" s="53">
        <f t="shared" si="2"/>
        <v>43240</v>
      </c>
      <c r="D57" s="54">
        <f t="shared" si="3"/>
        <v>136.53</v>
      </c>
      <c r="E57" s="56">
        <f>G56*'DADOS DO CONTRATO E CAPITALIZ'!$B$34</f>
        <v>55.439240379966542</v>
      </c>
      <c r="F57" s="56">
        <f t="shared" si="0"/>
        <v>81.090759620033452</v>
      </c>
      <c r="G57" s="59">
        <f t="shared" si="5"/>
        <v>2126.0050459209174</v>
      </c>
    </row>
    <row r="58" spans="2:7" x14ac:dyDescent="0.3">
      <c r="B58" s="52">
        <v>39</v>
      </c>
      <c r="C58" s="53">
        <f t="shared" si="2"/>
        <v>43271</v>
      </c>
      <c r="D58" s="54">
        <f t="shared" si="3"/>
        <v>136.53</v>
      </c>
      <c r="E58" s="56">
        <f>G57*'DADOS DO CONTRATO E CAPITALIZ'!$B$34</f>
        <v>53.40235095093368</v>
      </c>
      <c r="F58" s="56">
        <f t="shared" si="0"/>
        <v>83.127649049066321</v>
      </c>
      <c r="G58" s="59">
        <f t="shared" ref="G58:G77" si="6">G57-F58</f>
        <v>2042.877396871851</v>
      </c>
    </row>
    <row r="59" spans="2:7" x14ac:dyDescent="0.3">
      <c r="B59" s="57">
        <v>40</v>
      </c>
      <c r="C59" s="53">
        <f t="shared" si="2"/>
        <v>43301</v>
      </c>
      <c r="D59" s="54">
        <f t="shared" si="3"/>
        <v>136.53</v>
      </c>
      <c r="E59" s="56">
        <f>G58*'DADOS DO CONTRATO E CAPITALIZ'!$B$34</f>
        <v>51.31429763386295</v>
      </c>
      <c r="F59" s="56">
        <f t="shared" si="0"/>
        <v>85.215702366137052</v>
      </c>
      <c r="G59" s="59">
        <f t="shared" si="6"/>
        <v>1957.661694505714</v>
      </c>
    </row>
    <row r="60" spans="2:7" x14ac:dyDescent="0.3">
      <c r="B60" s="52">
        <v>41</v>
      </c>
      <c r="C60" s="53">
        <f t="shared" si="2"/>
        <v>43332</v>
      </c>
      <c r="D60" s="54">
        <f t="shared" si="3"/>
        <v>136.53</v>
      </c>
      <c r="E60" s="56">
        <f>G59*'DADOS DO CONTRATO E CAPITALIZ'!$B$34</f>
        <v>49.173795261576466</v>
      </c>
      <c r="F60" s="56">
        <f t="shared" si="0"/>
        <v>87.356204738423543</v>
      </c>
      <c r="G60" s="59">
        <f t="shared" si="6"/>
        <v>1870.3054897672905</v>
      </c>
    </row>
    <row r="61" spans="2:7" x14ac:dyDescent="0.3">
      <c r="B61" s="52">
        <v>42</v>
      </c>
      <c r="C61" s="53">
        <f t="shared" si="2"/>
        <v>43363</v>
      </c>
      <c r="D61" s="54">
        <f t="shared" si="3"/>
        <v>136.53</v>
      </c>
      <c r="E61" s="56">
        <f>G60*'DADOS DO CONTRATO E CAPITALIZ'!$B$34</f>
        <v>46.979526385247354</v>
      </c>
      <c r="F61" s="56">
        <f t="shared" si="0"/>
        <v>89.550473614752647</v>
      </c>
      <c r="G61" s="59">
        <f t="shared" si="6"/>
        <v>1780.7550161525378</v>
      </c>
    </row>
    <row r="62" spans="2:7" x14ac:dyDescent="0.3">
      <c r="B62" s="52">
        <v>43</v>
      </c>
      <c r="C62" s="53">
        <f t="shared" si="2"/>
        <v>43393</v>
      </c>
      <c r="D62" s="54">
        <f t="shared" si="3"/>
        <v>136.53</v>
      </c>
      <c r="E62" s="56">
        <f>G61*'DADOS DO CONTRATO E CAPITALIZ'!$B$34</f>
        <v>44.730140463528691</v>
      </c>
      <c r="F62" s="56">
        <f t="shared" si="0"/>
        <v>91.799859536471303</v>
      </c>
      <c r="G62" s="59">
        <f t="shared" si="6"/>
        <v>1688.9551566160665</v>
      </c>
    </row>
    <row r="63" spans="2:7" x14ac:dyDescent="0.3">
      <c r="B63" s="57">
        <v>44</v>
      </c>
      <c r="C63" s="53">
        <f t="shared" si="2"/>
        <v>43424</v>
      </c>
      <c r="D63" s="54">
        <f t="shared" si="3"/>
        <v>136.53</v>
      </c>
      <c r="E63" s="56">
        <f>G62*'DADOS DO CONTRATO E CAPITALIZ'!$B$34</f>
        <v>42.424253031314471</v>
      </c>
      <c r="F63" s="56">
        <f t="shared" si="0"/>
        <v>94.105746968685537</v>
      </c>
      <c r="G63" s="59">
        <f t="shared" si="6"/>
        <v>1594.849409647381</v>
      </c>
    </row>
    <row r="64" spans="2:7" x14ac:dyDescent="0.3">
      <c r="B64" s="52">
        <v>45</v>
      </c>
      <c r="C64" s="53">
        <f t="shared" si="2"/>
        <v>43454</v>
      </c>
      <c r="D64" s="54">
        <f t="shared" si="3"/>
        <v>136.53</v>
      </c>
      <c r="E64" s="56">
        <f>G63*'DADOS DO CONTRATO E CAPITALIZ'!$B$34</f>
        <v>40.060444847620985</v>
      </c>
      <c r="F64" s="56">
        <f t="shared" si="0"/>
        <v>96.469555152379016</v>
      </c>
      <c r="G64" s="59">
        <f t="shared" si="6"/>
        <v>1498.3798544950021</v>
      </c>
    </row>
    <row r="65" spans="2:7" x14ac:dyDescent="0.3">
      <c r="B65" s="52">
        <v>46</v>
      </c>
      <c r="C65" s="53">
        <f t="shared" si="2"/>
        <v>43485</v>
      </c>
      <c r="D65" s="54">
        <f t="shared" si="3"/>
        <v>136.53</v>
      </c>
      <c r="E65" s="56">
        <f>G64*'DADOS DO CONTRATO E CAPITALIZ'!$B$34</f>
        <v>37.637261022064152</v>
      </c>
      <c r="F65" s="56">
        <f t="shared" si="0"/>
        <v>98.892738977935849</v>
      </c>
      <c r="G65" s="59">
        <f t="shared" si="6"/>
        <v>1399.4871155170663</v>
      </c>
    </row>
    <row r="66" spans="2:7" x14ac:dyDescent="0.3">
      <c r="B66" s="52">
        <v>47</v>
      </c>
      <c r="C66" s="53">
        <f t="shared" si="2"/>
        <v>43516</v>
      </c>
      <c r="D66" s="54">
        <f t="shared" si="3"/>
        <v>136.53</v>
      </c>
      <c r="E66" s="56">
        <f>G65*'DADOS DO CONTRATO E CAPITALIZ'!$B$34</f>
        <v>35.153210119395098</v>
      </c>
      <c r="F66" s="56">
        <f t="shared" si="0"/>
        <v>101.3767898806049</v>
      </c>
      <c r="G66" s="59">
        <f t="shared" si="6"/>
        <v>1298.1103256364613</v>
      </c>
    </row>
    <row r="67" spans="2:7" x14ac:dyDescent="0.3">
      <c r="B67" s="57">
        <v>48</v>
      </c>
      <c r="C67" s="53">
        <f t="shared" si="2"/>
        <v>43544</v>
      </c>
      <c r="D67" s="54">
        <f t="shared" si="3"/>
        <v>136.53</v>
      </c>
      <c r="E67" s="56">
        <f>G66*'DADOS DO CONTRATO E CAPITALIZ'!$B$34</f>
        <v>32.606763241543</v>
      </c>
      <c r="F67" s="56">
        <f t="shared" si="0"/>
        <v>103.92323675845699</v>
      </c>
      <c r="G67" s="59">
        <f t="shared" si="6"/>
        <v>1194.1870888780043</v>
      </c>
    </row>
    <row r="68" spans="2:7" x14ac:dyDescent="0.3">
      <c r="B68" s="52">
        <v>49</v>
      </c>
      <c r="C68" s="53">
        <f t="shared" si="2"/>
        <v>43575</v>
      </c>
      <c r="D68" s="54">
        <f t="shared" si="3"/>
        <v>136.53</v>
      </c>
      <c r="E68" s="56">
        <f>G67*'DADOS DO CONTRATO E CAPITALIZ'!$B$34</f>
        <v>29.996353086599967</v>
      </c>
      <c r="F68" s="56">
        <f t="shared" si="0"/>
        <v>106.53364691340003</v>
      </c>
      <c r="G68" s="59">
        <f t="shared" si="6"/>
        <v>1087.6534419646043</v>
      </c>
    </row>
    <row r="69" spans="2:7" x14ac:dyDescent="0.3">
      <c r="B69" s="57">
        <v>50</v>
      </c>
      <c r="C69" s="53">
        <f t="shared" si="2"/>
        <v>43605</v>
      </c>
      <c r="D69" s="54">
        <f t="shared" si="3"/>
        <v>136.53</v>
      </c>
      <c r="E69" s="56">
        <f>G68*'DADOS DO CONTRATO E CAPITALIZ'!$B$34</f>
        <v>27.320372984168987</v>
      </c>
      <c r="F69" s="56">
        <f t="shared" si="0"/>
        <v>109.20962701583102</v>
      </c>
      <c r="G69" s="59">
        <f t="shared" si="6"/>
        <v>978.44381494877325</v>
      </c>
    </row>
    <row r="70" spans="2:7" x14ac:dyDescent="0.3">
      <c r="B70" s="52">
        <v>51</v>
      </c>
      <c r="C70" s="53">
        <f t="shared" si="2"/>
        <v>43636</v>
      </c>
      <c r="D70" s="54">
        <f t="shared" si="3"/>
        <v>136.53</v>
      </c>
      <c r="E70" s="56">
        <f>G69*'DADOS DO CONTRATO E CAPITALIZ'!$B$34</f>
        <v>24.577175906481092</v>
      </c>
      <c r="F70" s="56">
        <f t="shared" si="0"/>
        <v>111.95282409351891</v>
      </c>
      <c r="G70" s="59">
        <f t="shared" si="6"/>
        <v>866.49099085525438</v>
      </c>
    </row>
    <row r="71" spans="2:7" x14ac:dyDescent="0.3">
      <c r="B71" s="57">
        <v>52</v>
      </c>
      <c r="C71" s="53">
        <f t="shared" si="2"/>
        <v>43666</v>
      </c>
      <c r="D71" s="54">
        <f t="shared" si="3"/>
        <v>136.53</v>
      </c>
      <c r="E71" s="56">
        <f>G70*'DADOS DO CONTRATO E CAPITALIZ'!$B$34</f>
        <v>21.765073454673164</v>
      </c>
      <c r="F71" s="56">
        <f t="shared" si="0"/>
        <v>114.76492654532683</v>
      </c>
      <c r="G71" s="59">
        <f t="shared" si="6"/>
        <v>751.72606430992755</v>
      </c>
    </row>
    <row r="72" spans="2:7" x14ac:dyDescent="0.3">
      <c r="B72" s="52">
        <v>53</v>
      </c>
      <c r="C72" s="53">
        <f t="shared" si="2"/>
        <v>43697</v>
      </c>
      <c r="D72" s="54">
        <f t="shared" si="3"/>
        <v>136.53</v>
      </c>
      <c r="E72" s="56">
        <f>G71*'DADOS DO CONTRATO E CAPITALIZ'!$B$34</f>
        <v>18.882334819602381</v>
      </c>
      <c r="F72" s="56">
        <f t="shared" si="0"/>
        <v>117.64766518039762</v>
      </c>
      <c r="G72" s="59">
        <f t="shared" si="6"/>
        <v>634.07839912952988</v>
      </c>
    </row>
    <row r="73" spans="2:7" x14ac:dyDescent="0.3">
      <c r="B73" s="57">
        <v>54</v>
      </c>
      <c r="C73" s="53">
        <f t="shared" si="2"/>
        <v>43728</v>
      </c>
      <c r="D73" s="54">
        <f t="shared" si="3"/>
        <v>136.53</v>
      </c>
      <c r="E73" s="56">
        <f>G72*'DADOS DO CONTRATO E CAPITALIZ'!$B$34</f>
        <v>15.927185716557759</v>
      </c>
      <c r="F73" s="56">
        <f t="shared" si="0"/>
        <v>120.60281428344224</v>
      </c>
      <c r="G73" s="59">
        <f t="shared" si="6"/>
        <v>513.4755848460876</v>
      </c>
    </row>
    <row r="74" spans="2:7" x14ac:dyDescent="0.3">
      <c r="B74" s="52">
        <v>55</v>
      </c>
      <c r="C74" s="53">
        <f t="shared" si="2"/>
        <v>43758</v>
      </c>
      <c r="D74" s="54">
        <f t="shared" si="3"/>
        <v>136.53</v>
      </c>
      <c r="E74" s="56">
        <f>G73*'DADOS DO CONTRATO E CAPITALIZ'!$B$34</f>
        <v>12.897807293213116</v>
      </c>
      <c r="F74" s="56">
        <f t="shared" si="0"/>
        <v>123.63219270678688</v>
      </c>
      <c r="G74" s="59">
        <f t="shared" si="6"/>
        <v>389.8433921393007</v>
      </c>
    </row>
    <row r="75" spans="2:7" x14ac:dyDescent="0.3">
      <c r="B75" s="57">
        <v>56</v>
      </c>
      <c r="C75" s="53">
        <f t="shared" si="2"/>
        <v>43789</v>
      </c>
      <c r="D75" s="54">
        <f t="shared" si="3"/>
        <v>136.53</v>
      </c>
      <c r="E75" s="56">
        <f>G74*'DADOS DO CONTRATO E CAPITALIZ'!$B$34</f>
        <v>9.7923350101492659</v>
      </c>
      <c r="F75" s="56">
        <f t="shared" si="0"/>
        <v>126.73766498985074</v>
      </c>
      <c r="G75" s="59">
        <f t="shared" si="6"/>
        <v>263.10572714944999</v>
      </c>
    </row>
    <row r="76" spans="2:7" x14ac:dyDescent="0.3">
      <c r="B76" s="52">
        <v>57</v>
      </c>
      <c r="C76" s="53">
        <f t="shared" si="2"/>
        <v>43819</v>
      </c>
      <c r="D76" s="54">
        <f t="shared" si="3"/>
        <v>136.53</v>
      </c>
      <c r="E76" s="56">
        <f>G75*'DADOS DO CONTRATO E CAPITALIZ'!$B$34</f>
        <v>6.6088574932564734</v>
      </c>
      <c r="F76" s="56">
        <f t="shared" si="0"/>
        <v>129.92114250674354</v>
      </c>
      <c r="G76" s="59">
        <f t="shared" si="6"/>
        <v>133.18458464270645</v>
      </c>
    </row>
    <row r="77" spans="2:7" x14ac:dyDescent="0.3">
      <c r="B77" s="57">
        <v>58</v>
      </c>
      <c r="C77" s="53">
        <f t="shared" si="2"/>
        <v>43850</v>
      </c>
      <c r="D77" s="54">
        <f t="shared" si="3"/>
        <v>136.53</v>
      </c>
      <c r="E77" s="56">
        <f>G76*'DADOS DO CONTRATO E CAPITALIZ'!$B$34</f>
        <v>3.345415357310825</v>
      </c>
      <c r="F77" s="56">
        <f t="shared" si="0"/>
        <v>133.18458464268917</v>
      </c>
      <c r="G77" s="59">
        <f t="shared" si="6"/>
        <v>1.7280399333685637E-11</v>
      </c>
    </row>
  </sheetData>
  <mergeCells count="11">
    <mergeCell ref="C3:G3"/>
    <mergeCell ref="C4:G4"/>
    <mergeCell ref="B1:G1"/>
    <mergeCell ref="E7:F7"/>
    <mergeCell ref="E8:F8"/>
    <mergeCell ref="B17:G17"/>
    <mergeCell ref="E9:F9"/>
    <mergeCell ref="E11:F11"/>
    <mergeCell ref="E12:F12"/>
    <mergeCell ref="E13:F13"/>
    <mergeCell ref="E14:F1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77"/>
  <sheetViews>
    <sheetView tabSelected="1" topLeftCell="A4" zoomScale="175" zoomScaleNormal="175" workbookViewId="0">
      <selection activeCell="E13" sqref="E13:F13"/>
    </sheetView>
  </sheetViews>
  <sheetFormatPr defaultRowHeight="14.4" x14ac:dyDescent="0.3"/>
  <cols>
    <col min="2" max="2" width="20.6640625" customWidth="1"/>
    <col min="3" max="3" width="14.33203125" style="13" bestFit="1" customWidth="1"/>
    <col min="4" max="4" width="16.109375" style="2" customWidth="1"/>
    <col min="5" max="5" width="13.33203125" style="4" bestFit="1" customWidth="1"/>
    <col min="6" max="6" width="15.5546875" style="4" customWidth="1"/>
    <col min="7" max="7" width="14.33203125" style="5" bestFit="1" customWidth="1"/>
  </cols>
  <sheetData>
    <row r="1" spans="2:7" ht="17.399999999999999" x14ac:dyDescent="0.35">
      <c r="B1" s="158" t="s">
        <v>44</v>
      </c>
      <c r="C1" s="158"/>
      <c r="D1" s="158"/>
      <c r="E1" s="158"/>
      <c r="F1" s="158"/>
      <c r="G1" s="158"/>
    </row>
    <row r="2" spans="2:7" ht="17.399999999999999" x14ac:dyDescent="0.35">
      <c r="B2" s="58"/>
      <c r="C2" s="58"/>
      <c r="D2" s="58"/>
      <c r="E2" s="58"/>
      <c r="F2" s="58"/>
      <c r="G2" s="58"/>
    </row>
    <row r="3" spans="2:7" x14ac:dyDescent="0.3">
      <c r="B3" s="16" t="s">
        <v>30</v>
      </c>
      <c r="C3" s="147" t="str">
        <f>'DADOS DO CONTRATO E CAPITALIZ'!C3</f>
        <v>XXXXXXXX</v>
      </c>
      <c r="D3" s="148"/>
      <c r="E3" s="148"/>
      <c r="F3" s="148"/>
      <c r="G3" s="149"/>
    </row>
    <row r="4" spans="2:7" x14ac:dyDescent="0.3">
      <c r="B4" s="18" t="s">
        <v>31</v>
      </c>
      <c r="C4" s="150" t="str">
        <f>'DADOS DO CONTRATO E CAPITALIZ'!C4</f>
        <v>SANTANDER</v>
      </c>
      <c r="D4" s="151"/>
      <c r="E4" s="151"/>
      <c r="F4" s="151"/>
      <c r="G4" s="152"/>
    </row>
    <row r="5" spans="2:7" x14ac:dyDescent="0.3">
      <c r="B5" s="21" t="s">
        <v>33</v>
      </c>
      <c r="C5" s="25" t="str">
        <f>'DADOS DO CONTRATO E CAPITALIZ'!C5</f>
        <v>0000</v>
      </c>
      <c r="D5" s="22"/>
      <c r="E5" s="23" t="s">
        <v>38</v>
      </c>
      <c r="F5" s="23"/>
      <c r="G5" s="26">
        <f>'DADOS DO CONTRATO E CAPITALIZ'!F4</f>
        <v>42045</v>
      </c>
    </row>
    <row r="6" spans="2:7" x14ac:dyDescent="0.3">
      <c r="B6" s="1"/>
      <c r="D6" s="15"/>
    </row>
    <row r="7" spans="2:7" x14ac:dyDescent="0.3">
      <c r="B7" s="36" t="s">
        <v>0</v>
      </c>
      <c r="C7" s="37">
        <f>'DADOS DO CONTRATO E CAPITALIZ'!C7</f>
        <v>4003.28</v>
      </c>
      <c r="D7" s="15"/>
      <c r="E7" s="145" t="s">
        <v>9</v>
      </c>
      <c r="F7" s="146"/>
      <c r="G7" s="37">
        <f>'DADOS DO CONTRATO E CAPITALIZ'!C17</f>
        <v>136.53</v>
      </c>
    </row>
    <row r="8" spans="2:7" x14ac:dyDescent="0.3">
      <c r="B8" s="38" t="s">
        <v>1</v>
      </c>
      <c r="C8" s="39">
        <f>'DADOS DO CONTRATO E CAPITALIZ'!C8</f>
        <v>122.89</v>
      </c>
      <c r="D8" s="15"/>
      <c r="E8" s="156" t="s">
        <v>10</v>
      </c>
      <c r="F8" s="157"/>
      <c r="G8" s="46">
        <f>'DADOS DO CONTRATO E CAPITALIZ'!C18</f>
        <v>58</v>
      </c>
    </row>
    <row r="9" spans="2:7" x14ac:dyDescent="0.3">
      <c r="B9" s="38" t="s">
        <v>2</v>
      </c>
      <c r="C9" s="39">
        <f>'DADOS DO CONTRATO E CAPITALIZ'!C9</f>
        <v>20</v>
      </c>
      <c r="D9" s="15"/>
      <c r="E9" s="143" t="s">
        <v>37</v>
      </c>
      <c r="F9" s="144"/>
      <c r="G9" s="47">
        <f>'DADOS DO CONTRATO E CAPITALIZ'!C19</f>
        <v>7918.74</v>
      </c>
    </row>
    <row r="10" spans="2:7" x14ac:dyDescent="0.3">
      <c r="B10" s="38" t="s">
        <v>3</v>
      </c>
      <c r="C10" s="39">
        <f>'DADOS DO CONTRATO E CAPITALIZ'!C10</f>
        <v>0</v>
      </c>
      <c r="D10" s="15"/>
    </row>
    <row r="11" spans="2:7" x14ac:dyDescent="0.3">
      <c r="B11" s="38" t="s">
        <v>4</v>
      </c>
      <c r="C11" s="39">
        <f>'DADOS DO CONTRATO E CAPITALIZ'!C11</f>
        <v>0</v>
      </c>
      <c r="D11" s="15"/>
      <c r="E11" s="145" t="s">
        <v>66</v>
      </c>
      <c r="F11" s="146"/>
      <c r="G11" s="44">
        <v>2.12E-2</v>
      </c>
    </row>
    <row r="12" spans="2:7" x14ac:dyDescent="0.3">
      <c r="B12" s="38" t="s">
        <v>4</v>
      </c>
      <c r="C12" s="39">
        <f>'DADOS DO CONTRATO E CAPITALIZ'!C12</f>
        <v>0</v>
      </c>
      <c r="D12" s="15"/>
      <c r="E12" s="143" t="s">
        <v>67</v>
      </c>
      <c r="F12" s="144"/>
      <c r="G12" s="45">
        <v>0.28560000000000002</v>
      </c>
    </row>
    <row r="13" spans="2:7" x14ac:dyDescent="0.3">
      <c r="B13" s="38" t="s">
        <v>4</v>
      </c>
      <c r="C13" s="39">
        <f>'DADOS DO CONTRATO E CAPITALIZ'!C13</f>
        <v>0</v>
      </c>
      <c r="D13" s="15"/>
      <c r="E13" s="145" t="s">
        <v>13</v>
      </c>
      <c r="F13" s="146"/>
      <c r="G13" s="44">
        <f>'tabela price_FINANCEIRA'!G11</f>
        <v>2.3400000000000001E-2</v>
      </c>
    </row>
    <row r="14" spans="2:7" x14ac:dyDescent="0.3">
      <c r="B14" s="40" t="s">
        <v>5</v>
      </c>
      <c r="C14" s="41">
        <f>SUM(C7:C13)</f>
        <v>4146.17</v>
      </c>
      <c r="D14" s="15"/>
      <c r="E14" s="143" t="s">
        <v>14</v>
      </c>
      <c r="F14" s="144"/>
      <c r="G14" s="44">
        <f>'tabela price_FINANCEIRA'!G12</f>
        <v>0.32019999999999998</v>
      </c>
    </row>
    <row r="15" spans="2:7" x14ac:dyDescent="0.3">
      <c r="B15" s="42" t="s">
        <v>36</v>
      </c>
      <c r="C15" s="43">
        <f>'DADOS DO CONTRATO E CAPITALIZ'!F5</f>
        <v>42114</v>
      </c>
      <c r="D15" s="15"/>
    </row>
    <row r="17" spans="2:7" x14ac:dyDescent="0.3">
      <c r="B17" s="159" t="s">
        <v>41</v>
      </c>
      <c r="C17" s="159"/>
      <c r="D17" s="159"/>
      <c r="E17" s="159"/>
      <c r="F17" s="159"/>
      <c r="G17" s="159"/>
    </row>
    <row r="18" spans="2:7" s="4" customFormat="1" x14ac:dyDescent="0.3">
      <c r="B18" s="91" t="s">
        <v>24</v>
      </c>
      <c r="C18" s="92" t="s">
        <v>25</v>
      </c>
      <c r="D18" s="93" t="s">
        <v>26</v>
      </c>
      <c r="E18" s="91" t="s">
        <v>27</v>
      </c>
      <c r="F18" s="91" t="s">
        <v>28</v>
      </c>
      <c r="G18" s="93" t="s">
        <v>29</v>
      </c>
    </row>
    <row r="19" spans="2:7" x14ac:dyDescent="0.3">
      <c r="B19" s="91">
        <v>0</v>
      </c>
      <c r="C19" s="92">
        <f>'DADOS DO CONTRATO E CAPITALIZ'!F4</f>
        <v>42045</v>
      </c>
      <c r="D19" s="94"/>
      <c r="E19" s="91"/>
      <c r="F19" s="91"/>
      <c r="G19" s="93">
        <f>'DADOS DO CONTRATO E CAPITALIZ'!C15</f>
        <v>4146.17</v>
      </c>
    </row>
    <row r="20" spans="2:7" x14ac:dyDescent="0.3">
      <c r="B20" s="91">
        <v>1</v>
      </c>
      <c r="C20" s="92">
        <f>C15</f>
        <v>42114</v>
      </c>
      <c r="D20" s="95">
        <f>PMT(G11,G8,-C14)</f>
        <v>124.89030700377111</v>
      </c>
      <c r="E20" s="96">
        <f>G19*G$11</f>
        <v>87.898803999999998</v>
      </c>
      <c r="F20" s="96">
        <f>D20-E20</f>
        <v>36.991503003771115</v>
      </c>
      <c r="G20" s="93">
        <f>G19-F20</f>
        <v>4109.1784969962291</v>
      </c>
    </row>
    <row r="21" spans="2:7" x14ac:dyDescent="0.3">
      <c r="B21" s="91">
        <v>2</v>
      </c>
      <c r="C21" s="92">
        <f>EDATE(C20,1)</f>
        <v>42144</v>
      </c>
      <c r="D21" s="95">
        <f>D20</f>
        <v>124.89030700377111</v>
      </c>
      <c r="E21" s="96">
        <f t="shared" ref="E21:E77" si="0">G20*G$11</f>
        <v>87.114584136320062</v>
      </c>
      <c r="F21" s="96">
        <f t="shared" ref="F21:F27" si="1">D21-E21</f>
        <v>37.775722867451051</v>
      </c>
      <c r="G21" s="93">
        <f t="shared" ref="G21:G27" si="2">G20-F21</f>
        <v>4071.4027741287782</v>
      </c>
    </row>
    <row r="22" spans="2:7" x14ac:dyDescent="0.3">
      <c r="B22" s="91">
        <v>3</v>
      </c>
      <c r="C22" s="92">
        <f t="shared" ref="C22:C77" si="3">EDATE(C21,1)</f>
        <v>42175</v>
      </c>
      <c r="D22" s="95">
        <f t="shared" ref="D22:D77" si="4">D21</f>
        <v>124.89030700377111</v>
      </c>
      <c r="E22" s="96">
        <f t="shared" si="0"/>
        <v>86.313738811530101</v>
      </c>
      <c r="F22" s="96">
        <f t="shared" si="1"/>
        <v>38.576568192241012</v>
      </c>
      <c r="G22" s="93">
        <f t="shared" si="2"/>
        <v>4032.826205936537</v>
      </c>
    </row>
    <row r="23" spans="2:7" x14ac:dyDescent="0.3">
      <c r="B23" s="91">
        <v>4</v>
      </c>
      <c r="C23" s="92">
        <f t="shared" si="3"/>
        <v>42205</v>
      </c>
      <c r="D23" s="95">
        <f t="shared" si="4"/>
        <v>124.89030700377111</v>
      </c>
      <c r="E23" s="96">
        <f t="shared" si="0"/>
        <v>85.495915565854588</v>
      </c>
      <c r="F23" s="96">
        <f t="shared" si="1"/>
        <v>39.394391437916525</v>
      </c>
      <c r="G23" s="93">
        <f t="shared" si="2"/>
        <v>3993.4318144986205</v>
      </c>
    </row>
    <row r="24" spans="2:7" x14ac:dyDescent="0.3">
      <c r="B24" s="91">
        <v>5</v>
      </c>
      <c r="C24" s="92">
        <f t="shared" si="3"/>
        <v>42236</v>
      </c>
      <c r="D24" s="95">
        <f t="shared" si="4"/>
        <v>124.89030700377111</v>
      </c>
      <c r="E24" s="96">
        <f t="shared" si="0"/>
        <v>84.660754467370751</v>
      </c>
      <c r="F24" s="96">
        <f t="shared" si="1"/>
        <v>40.229552536400362</v>
      </c>
      <c r="G24" s="93">
        <f t="shared" si="2"/>
        <v>3953.2022619622203</v>
      </c>
    </row>
    <row r="25" spans="2:7" x14ac:dyDescent="0.3">
      <c r="B25" s="91">
        <v>6</v>
      </c>
      <c r="C25" s="92">
        <f t="shared" si="3"/>
        <v>42267</v>
      </c>
      <c r="D25" s="95">
        <f t="shared" si="4"/>
        <v>124.89030700377111</v>
      </c>
      <c r="E25" s="96">
        <f t="shared" si="0"/>
        <v>83.807887953599064</v>
      </c>
      <c r="F25" s="96">
        <f t="shared" si="1"/>
        <v>41.082419050172049</v>
      </c>
      <c r="G25" s="93">
        <f t="shared" si="2"/>
        <v>3912.1198429120482</v>
      </c>
    </row>
    <row r="26" spans="2:7" x14ac:dyDescent="0.3">
      <c r="B26" s="91">
        <v>7</v>
      </c>
      <c r="C26" s="92">
        <f t="shared" si="3"/>
        <v>42297</v>
      </c>
      <c r="D26" s="95">
        <f t="shared" si="4"/>
        <v>124.89030700377111</v>
      </c>
      <c r="E26" s="96">
        <f t="shared" si="0"/>
        <v>82.936940669735421</v>
      </c>
      <c r="F26" s="96">
        <f t="shared" si="1"/>
        <v>41.953366334035692</v>
      </c>
      <c r="G26" s="93">
        <f t="shared" si="2"/>
        <v>3870.1664765780124</v>
      </c>
    </row>
    <row r="27" spans="2:7" x14ac:dyDescent="0.3">
      <c r="B27" s="91">
        <v>8</v>
      </c>
      <c r="C27" s="92">
        <f t="shared" si="3"/>
        <v>42328</v>
      </c>
      <c r="D27" s="95">
        <f t="shared" si="4"/>
        <v>124.89030700377111</v>
      </c>
      <c r="E27" s="96">
        <f t="shared" si="0"/>
        <v>82.047529303453857</v>
      </c>
      <c r="F27" s="96">
        <f t="shared" si="1"/>
        <v>42.842777700317257</v>
      </c>
      <c r="G27" s="93">
        <f t="shared" si="2"/>
        <v>3827.3236988776953</v>
      </c>
    </row>
    <row r="28" spans="2:7" x14ac:dyDescent="0.3">
      <c r="B28" s="91">
        <v>9</v>
      </c>
      <c r="C28" s="92">
        <f t="shared" si="3"/>
        <v>42358</v>
      </c>
      <c r="D28" s="95">
        <f t="shared" si="4"/>
        <v>124.89030700377111</v>
      </c>
      <c r="E28" s="96">
        <f t="shared" si="0"/>
        <v>81.139262416207146</v>
      </c>
      <c r="F28" s="96">
        <f>D28-E28</f>
        <v>43.751044587563968</v>
      </c>
      <c r="G28" s="93">
        <f>G27-F28</f>
        <v>3783.5726542901311</v>
      </c>
    </row>
    <row r="29" spans="2:7" x14ac:dyDescent="0.3">
      <c r="B29" s="91">
        <v>10</v>
      </c>
      <c r="C29" s="92">
        <f t="shared" si="3"/>
        <v>42389</v>
      </c>
      <c r="D29" s="95">
        <f t="shared" si="4"/>
        <v>124.89030700377111</v>
      </c>
      <c r="E29" s="96">
        <f t="shared" si="0"/>
        <v>80.211740270950784</v>
      </c>
      <c r="F29" s="96">
        <f>D29-E29</f>
        <v>44.678566732820329</v>
      </c>
      <c r="G29" s="97">
        <f>G28-F29</f>
        <v>3738.8940875573107</v>
      </c>
    </row>
    <row r="30" spans="2:7" x14ac:dyDescent="0.3">
      <c r="B30" s="91">
        <v>11</v>
      </c>
      <c r="C30" s="92">
        <f t="shared" si="3"/>
        <v>42420</v>
      </c>
      <c r="D30" s="95">
        <f t="shared" si="4"/>
        <v>124.89030700377111</v>
      </c>
      <c r="E30" s="96">
        <f t="shared" si="0"/>
        <v>79.264554656214983</v>
      </c>
      <c r="F30" s="96">
        <f>D30-E30</f>
        <v>45.62575234755613</v>
      </c>
      <c r="G30" s="93">
        <f>G29-F30</f>
        <v>3693.2683352097547</v>
      </c>
    </row>
    <row r="31" spans="2:7" x14ac:dyDescent="0.3">
      <c r="B31" s="91">
        <v>12</v>
      </c>
      <c r="C31" s="92">
        <f t="shared" si="3"/>
        <v>42449</v>
      </c>
      <c r="D31" s="95">
        <f t="shared" si="4"/>
        <v>124.89030700377111</v>
      </c>
      <c r="E31" s="96">
        <f t="shared" si="0"/>
        <v>78.297288706446807</v>
      </c>
      <c r="F31" s="96">
        <f>D31-E31</f>
        <v>46.593018297324306</v>
      </c>
      <c r="G31" s="98">
        <f>G30-F31</f>
        <v>3646.6753169124304</v>
      </c>
    </row>
    <row r="32" spans="2:7" x14ac:dyDescent="0.3">
      <c r="B32" s="91">
        <v>13</v>
      </c>
      <c r="C32" s="92">
        <f t="shared" si="3"/>
        <v>42480</v>
      </c>
      <c r="D32" s="95">
        <f t="shared" si="4"/>
        <v>124.89030700377111</v>
      </c>
      <c r="E32" s="96">
        <f t="shared" si="0"/>
        <v>77.30951671854352</v>
      </c>
      <c r="F32" s="96">
        <f t="shared" ref="F32:F77" si="5">D32-E32</f>
        <v>47.580790285227593</v>
      </c>
      <c r="G32" s="98">
        <f t="shared" ref="G32:G77" si="6">G31-F32</f>
        <v>3599.0945266272029</v>
      </c>
    </row>
    <row r="33" spans="2:7" x14ac:dyDescent="0.3">
      <c r="B33" s="91">
        <v>14</v>
      </c>
      <c r="C33" s="92">
        <f t="shared" si="3"/>
        <v>42510</v>
      </c>
      <c r="D33" s="95">
        <f t="shared" si="4"/>
        <v>124.89030700377111</v>
      </c>
      <c r="E33" s="96">
        <f t="shared" si="0"/>
        <v>76.300803964496694</v>
      </c>
      <c r="F33" s="96">
        <f t="shared" si="5"/>
        <v>48.589503039274419</v>
      </c>
      <c r="G33" s="98">
        <f t="shared" si="6"/>
        <v>3550.5050235879285</v>
      </c>
    </row>
    <row r="34" spans="2:7" x14ac:dyDescent="0.3">
      <c r="B34" s="91">
        <v>15</v>
      </c>
      <c r="C34" s="92">
        <f t="shared" si="3"/>
        <v>42541</v>
      </c>
      <c r="D34" s="95">
        <f t="shared" si="4"/>
        <v>124.89030700377111</v>
      </c>
      <c r="E34" s="96">
        <f t="shared" si="0"/>
        <v>75.27070650006408</v>
      </c>
      <c r="F34" s="96">
        <f t="shared" si="5"/>
        <v>49.619600503707034</v>
      </c>
      <c r="G34" s="98">
        <f t="shared" si="6"/>
        <v>3500.8854230842217</v>
      </c>
    </row>
    <row r="35" spans="2:7" x14ac:dyDescent="0.3">
      <c r="B35" s="91">
        <v>16</v>
      </c>
      <c r="C35" s="92">
        <f t="shared" si="3"/>
        <v>42571</v>
      </c>
      <c r="D35" s="95">
        <f t="shared" si="4"/>
        <v>124.89030700377111</v>
      </c>
      <c r="E35" s="96">
        <f t="shared" si="0"/>
        <v>74.218770969385503</v>
      </c>
      <c r="F35" s="96">
        <f t="shared" si="5"/>
        <v>50.67153603438561</v>
      </c>
      <c r="G35" s="98">
        <f t="shared" si="6"/>
        <v>3450.2138870498361</v>
      </c>
    </row>
    <row r="36" spans="2:7" x14ac:dyDescent="0.3">
      <c r="B36" s="91">
        <v>17</v>
      </c>
      <c r="C36" s="92">
        <f t="shared" si="3"/>
        <v>42602</v>
      </c>
      <c r="D36" s="95">
        <f t="shared" si="4"/>
        <v>124.89030700377111</v>
      </c>
      <c r="E36" s="96">
        <f t="shared" si="0"/>
        <v>73.144534405456525</v>
      </c>
      <c r="F36" s="96">
        <f t="shared" si="5"/>
        <v>51.745772598314588</v>
      </c>
      <c r="G36" s="98">
        <f t="shared" si="6"/>
        <v>3398.4681144515216</v>
      </c>
    </row>
    <row r="37" spans="2:7" x14ac:dyDescent="0.3">
      <c r="B37" s="91">
        <v>18</v>
      </c>
      <c r="C37" s="92">
        <f t="shared" si="3"/>
        <v>42633</v>
      </c>
      <c r="D37" s="95">
        <f t="shared" si="4"/>
        <v>124.89030700377111</v>
      </c>
      <c r="E37" s="96">
        <f t="shared" si="0"/>
        <v>72.047524026372258</v>
      </c>
      <c r="F37" s="96">
        <f t="shared" si="5"/>
        <v>52.842782977398855</v>
      </c>
      <c r="G37" s="98">
        <f t="shared" si="6"/>
        <v>3345.625331474123</v>
      </c>
    </row>
    <row r="38" spans="2:7" x14ac:dyDescent="0.3">
      <c r="B38" s="91">
        <v>19</v>
      </c>
      <c r="C38" s="92">
        <f t="shared" si="3"/>
        <v>42663</v>
      </c>
      <c r="D38" s="95">
        <f t="shared" si="4"/>
        <v>124.89030700377111</v>
      </c>
      <c r="E38" s="96">
        <f t="shared" si="0"/>
        <v>70.9272570272514</v>
      </c>
      <c r="F38" s="96">
        <f t="shared" si="5"/>
        <v>53.963049976519713</v>
      </c>
      <c r="G38" s="98">
        <f t="shared" si="6"/>
        <v>3291.6622814976031</v>
      </c>
    </row>
    <row r="39" spans="2:7" x14ac:dyDescent="0.3">
      <c r="B39" s="91">
        <v>20</v>
      </c>
      <c r="C39" s="92">
        <f t="shared" si="3"/>
        <v>42694</v>
      </c>
      <c r="D39" s="95">
        <f t="shared" si="4"/>
        <v>124.89030700377111</v>
      </c>
      <c r="E39" s="96">
        <f t="shared" si="0"/>
        <v>69.783240367749187</v>
      </c>
      <c r="F39" s="96">
        <f t="shared" si="5"/>
        <v>55.107066636021926</v>
      </c>
      <c r="G39" s="98">
        <f t="shared" si="6"/>
        <v>3236.5552148615811</v>
      </c>
    </row>
    <row r="40" spans="2:7" x14ac:dyDescent="0.3">
      <c r="B40" s="91">
        <v>21</v>
      </c>
      <c r="C40" s="92">
        <f t="shared" si="3"/>
        <v>42724</v>
      </c>
      <c r="D40" s="95">
        <f t="shared" si="4"/>
        <v>124.89030700377111</v>
      </c>
      <c r="E40" s="96">
        <f t="shared" si="0"/>
        <v>68.614970555065526</v>
      </c>
      <c r="F40" s="96">
        <f t="shared" si="5"/>
        <v>56.275336448705588</v>
      </c>
      <c r="G40" s="98">
        <f t="shared" si="6"/>
        <v>3180.2798784128754</v>
      </c>
    </row>
    <row r="41" spans="2:7" x14ac:dyDescent="0.3">
      <c r="B41" s="91">
        <v>22</v>
      </c>
      <c r="C41" s="92">
        <f t="shared" si="3"/>
        <v>42755</v>
      </c>
      <c r="D41" s="95">
        <f t="shared" si="4"/>
        <v>124.89030700377111</v>
      </c>
      <c r="E41" s="96">
        <f t="shared" si="0"/>
        <v>67.421933422352964</v>
      </c>
      <c r="F41" s="96">
        <f t="shared" si="5"/>
        <v>57.468373581418149</v>
      </c>
      <c r="G41" s="98">
        <f t="shared" si="6"/>
        <v>3122.8115048314571</v>
      </c>
    </row>
    <row r="42" spans="2:7" x14ac:dyDescent="0.3">
      <c r="B42" s="91">
        <v>23</v>
      </c>
      <c r="C42" s="92">
        <f t="shared" si="3"/>
        <v>42786</v>
      </c>
      <c r="D42" s="95">
        <f t="shared" si="4"/>
        <v>124.89030700377111</v>
      </c>
      <c r="E42" s="96">
        <f t="shared" si="0"/>
        <v>66.203603902426892</v>
      </c>
      <c r="F42" s="96">
        <f t="shared" si="5"/>
        <v>58.686703101344222</v>
      </c>
      <c r="G42" s="98">
        <f t="shared" si="6"/>
        <v>3064.1248017301127</v>
      </c>
    </row>
    <row r="43" spans="2:7" x14ac:dyDescent="0.3">
      <c r="B43" s="91">
        <v>24</v>
      </c>
      <c r="C43" s="92">
        <f t="shared" si="3"/>
        <v>42814</v>
      </c>
      <c r="D43" s="95">
        <f t="shared" si="4"/>
        <v>124.89030700377111</v>
      </c>
      <c r="E43" s="96">
        <f t="shared" si="0"/>
        <v>64.959445796678395</v>
      </c>
      <c r="F43" s="96">
        <f t="shared" si="5"/>
        <v>59.930861207092718</v>
      </c>
      <c r="G43" s="98">
        <f t="shared" si="6"/>
        <v>3004.19394052302</v>
      </c>
    </row>
    <row r="44" spans="2:7" x14ac:dyDescent="0.3">
      <c r="B44" s="91">
        <v>25</v>
      </c>
      <c r="C44" s="92">
        <f t="shared" si="3"/>
        <v>42845</v>
      </c>
      <c r="D44" s="95">
        <f t="shared" si="4"/>
        <v>124.89030700377111</v>
      </c>
      <c r="E44" s="96">
        <f t="shared" si="0"/>
        <v>63.688911539088025</v>
      </c>
      <c r="F44" s="96">
        <f t="shared" si="5"/>
        <v>61.201395464683088</v>
      </c>
      <c r="G44" s="98">
        <f t="shared" si="6"/>
        <v>2942.9925450583369</v>
      </c>
    </row>
    <row r="45" spans="2:7" x14ac:dyDescent="0.3">
      <c r="B45" s="91">
        <v>26</v>
      </c>
      <c r="C45" s="92">
        <f t="shared" si="3"/>
        <v>42875</v>
      </c>
      <c r="D45" s="95">
        <f t="shared" si="4"/>
        <v>124.89030700377111</v>
      </c>
      <c r="E45" s="96">
        <f t="shared" si="0"/>
        <v>62.391441955236743</v>
      </c>
      <c r="F45" s="96">
        <f t="shared" si="5"/>
        <v>62.49886504853437</v>
      </c>
      <c r="G45" s="98">
        <f t="shared" si="6"/>
        <v>2880.4936800098026</v>
      </c>
    </row>
    <row r="46" spans="2:7" x14ac:dyDescent="0.3">
      <c r="B46" s="91">
        <v>27</v>
      </c>
      <c r="C46" s="92">
        <f t="shared" si="3"/>
        <v>42906</v>
      </c>
      <c r="D46" s="95">
        <f t="shared" si="4"/>
        <v>124.89030700377111</v>
      </c>
      <c r="E46" s="96">
        <f t="shared" si="0"/>
        <v>61.066466016207812</v>
      </c>
      <c r="F46" s="96">
        <f t="shared" si="5"/>
        <v>63.823840987563301</v>
      </c>
      <c r="G46" s="98">
        <f t="shared" si="6"/>
        <v>2816.6698390222391</v>
      </c>
    </row>
    <row r="47" spans="2:7" x14ac:dyDescent="0.3">
      <c r="B47" s="91">
        <v>28</v>
      </c>
      <c r="C47" s="92">
        <f t="shared" si="3"/>
        <v>42936</v>
      </c>
      <c r="D47" s="95">
        <f t="shared" si="4"/>
        <v>124.89030700377111</v>
      </c>
      <c r="E47" s="96">
        <f t="shared" si="0"/>
        <v>59.713400587271472</v>
      </c>
      <c r="F47" s="96">
        <f t="shared" si="5"/>
        <v>65.176906416499634</v>
      </c>
      <c r="G47" s="98">
        <f t="shared" si="6"/>
        <v>2751.4929326057395</v>
      </c>
    </row>
    <row r="48" spans="2:7" x14ac:dyDescent="0.3">
      <c r="B48" s="91">
        <v>29</v>
      </c>
      <c r="C48" s="92">
        <f t="shared" si="3"/>
        <v>42967</v>
      </c>
      <c r="D48" s="95">
        <f t="shared" si="4"/>
        <v>124.89030700377111</v>
      </c>
      <c r="E48" s="96">
        <f t="shared" si="0"/>
        <v>58.331650171241677</v>
      </c>
      <c r="F48" s="96">
        <f t="shared" si="5"/>
        <v>66.558656832529437</v>
      </c>
      <c r="G48" s="98">
        <f t="shared" si="6"/>
        <v>2684.9342757732102</v>
      </c>
    </row>
    <row r="49" spans="2:7" x14ac:dyDescent="0.3">
      <c r="B49" s="91">
        <v>30</v>
      </c>
      <c r="C49" s="92">
        <f t="shared" si="3"/>
        <v>42998</v>
      </c>
      <c r="D49" s="95">
        <f t="shared" si="4"/>
        <v>124.89030700377111</v>
      </c>
      <c r="E49" s="96">
        <f t="shared" si="0"/>
        <v>56.920606646392059</v>
      </c>
      <c r="F49" s="96">
        <f t="shared" si="5"/>
        <v>67.969700357379054</v>
      </c>
      <c r="G49" s="98">
        <f t="shared" si="6"/>
        <v>2616.964575415831</v>
      </c>
    </row>
    <row r="50" spans="2:7" x14ac:dyDescent="0.3">
      <c r="B50" s="91">
        <v>31</v>
      </c>
      <c r="C50" s="92">
        <f t="shared" si="3"/>
        <v>43028</v>
      </c>
      <c r="D50" s="95">
        <f t="shared" si="4"/>
        <v>124.89030700377111</v>
      </c>
      <c r="E50" s="96">
        <f t="shared" si="0"/>
        <v>55.47964899881562</v>
      </c>
      <c r="F50" s="96">
        <f t="shared" si="5"/>
        <v>69.410658004955494</v>
      </c>
      <c r="G50" s="98">
        <f t="shared" si="6"/>
        <v>2547.5539174108753</v>
      </c>
    </row>
    <row r="51" spans="2:7" x14ac:dyDescent="0.3">
      <c r="B51" s="91">
        <v>32</v>
      </c>
      <c r="C51" s="92">
        <f t="shared" si="3"/>
        <v>43059</v>
      </c>
      <c r="D51" s="95">
        <f t="shared" si="4"/>
        <v>124.89030700377111</v>
      </c>
      <c r="E51" s="96">
        <f t="shared" si="0"/>
        <v>54.008143049110558</v>
      </c>
      <c r="F51" s="96">
        <f t="shared" si="5"/>
        <v>70.882163954660555</v>
      </c>
      <c r="G51" s="98">
        <f t="shared" si="6"/>
        <v>2476.6717534562149</v>
      </c>
    </row>
    <row r="52" spans="2:7" x14ac:dyDescent="0.3">
      <c r="B52" s="91">
        <v>33</v>
      </c>
      <c r="C52" s="92">
        <f t="shared" si="3"/>
        <v>43089</v>
      </c>
      <c r="D52" s="95">
        <f t="shared" si="4"/>
        <v>124.89030700377111</v>
      </c>
      <c r="E52" s="96">
        <f t="shared" si="0"/>
        <v>52.505441173271755</v>
      </c>
      <c r="F52" s="96">
        <f t="shared" si="5"/>
        <v>72.384865830499365</v>
      </c>
      <c r="G52" s="98">
        <f t="shared" si="6"/>
        <v>2404.2868876257157</v>
      </c>
    </row>
    <row r="53" spans="2:7" x14ac:dyDescent="0.3">
      <c r="B53" s="91">
        <v>34</v>
      </c>
      <c r="C53" s="92">
        <f t="shared" si="3"/>
        <v>43120</v>
      </c>
      <c r="D53" s="95">
        <f t="shared" si="4"/>
        <v>124.89030700377111</v>
      </c>
      <c r="E53" s="96">
        <f t="shared" si="0"/>
        <v>50.970882017665176</v>
      </c>
      <c r="F53" s="96">
        <f t="shared" si="5"/>
        <v>73.919424986105938</v>
      </c>
      <c r="G53" s="98">
        <f t="shared" si="6"/>
        <v>2330.3674626396096</v>
      </c>
    </row>
    <row r="54" spans="2:7" x14ac:dyDescent="0.3">
      <c r="B54" s="91">
        <v>35</v>
      </c>
      <c r="C54" s="92">
        <f t="shared" si="3"/>
        <v>43151</v>
      </c>
      <c r="D54" s="95">
        <f t="shared" si="4"/>
        <v>124.89030700377111</v>
      </c>
      <c r="E54" s="96">
        <f t="shared" si="0"/>
        <v>49.403790207959723</v>
      </c>
      <c r="F54" s="96">
        <f t="shared" si="5"/>
        <v>75.486516795811383</v>
      </c>
      <c r="G54" s="98">
        <f t="shared" si="6"/>
        <v>2254.8809458437981</v>
      </c>
    </row>
    <row r="55" spans="2:7" x14ac:dyDescent="0.3">
      <c r="B55" s="91">
        <v>36</v>
      </c>
      <c r="C55" s="92">
        <f t="shared" si="3"/>
        <v>43179</v>
      </c>
      <c r="D55" s="95">
        <f t="shared" si="4"/>
        <v>124.89030700377111</v>
      </c>
      <c r="E55" s="96">
        <f t="shared" si="0"/>
        <v>47.803476051888524</v>
      </c>
      <c r="F55" s="96">
        <f t="shared" si="5"/>
        <v>77.08683095188259</v>
      </c>
      <c r="G55" s="98">
        <f t="shared" si="6"/>
        <v>2177.7941148919153</v>
      </c>
    </row>
    <row r="56" spans="2:7" x14ac:dyDescent="0.3">
      <c r="B56" s="91">
        <v>37</v>
      </c>
      <c r="C56" s="92">
        <f t="shared" si="3"/>
        <v>43210</v>
      </c>
      <c r="D56" s="95">
        <f t="shared" si="4"/>
        <v>124.89030700377111</v>
      </c>
      <c r="E56" s="96">
        <f t="shared" si="0"/>
        <v>46.169235235708605</v>
      </c>
      <c r="F56" s="96">
        <f t="shared" si="5"/>
        <v>78.721071768062501</v>
      </c>
      <c r="G56" s="98">
        <f t="shared" si="6"/>
        <v>2099.073043123853</v>
      </c>
    </row>
    <row r="57" spans="2:7" x14ac:dyDescent="0.3">
      <c r="B57" s="91">
        <v>38</v>
      </c>
      <c r="C57" s="92">
        <f t="shared" si="3"/>
        <v>43240</v>
      </c>
      <c r="D57" s="95">
        <f t="shared" si="4"/>
        <v>124.89030700377111</v>
      </c>
      <c r="E57" s="96">
        <f t="shared" si="0"/>
        <v>44.500348514225685</v>
      </c>
      <c r="F57" s="96">
        <f t="shared" si="5"/>
        <v>80.389958489545421</v>
      </c>
      <c r="G57" s="98">
        <f t="shared" si="6"/>
        <v>2018.6830846343075</v>
      </c>
    </row>
    <row r="58" spans="2:7" x14ac:dyDescent="0.3">
      <c r="B58" s="91">
        <v>39</v>
      </c>
      <c r="C58" s="92">
        <f t="shared" si="3"/>
        <v>43271</v>
      </c>
      <c r="D58" s="95">
        <f t="shared" si="4"/>
        <v>124.89030700377111</v>
      </c>
      <c r="E58" s="96">
        <f t="shared" si="0"/>
        <v>42.796081394247317</v>
      </c>
      <c r="F58" s="96">
        <f t="shared" si="5"/>
        <v>82.094225609523789</v>
      </c>
      <c r="G58" s="98">
        <f t="shared" si="6"/>
        <v>1936.5888590247837</v>
      </c>
    </row>
    <row r="59" spans="2:7" x14ac:dyDescent="0.3">
      <c r="B59" s="91">
        <v>40</v>
      </c>
      <c r="C59" s="92">
        <f t="shared" si="3"/>
        <v>43301</v>
      </c>
      <c r="D59" s="95">
        <f t="shared" si="4"/>
        <v>124.89030700377111</v>
      </c>
      <c r="E59" s="96">
        <f t="shared" si="0"/>
        <v>41.055683811325416</v>
      </c>
      <c r="F59" s="96">
        <f t="shared" si="5"/>
        <v>83.83462319244569</v>
      </c>
      <c r="G59" s="98">
        <f t="shared" si="6"/>
        <v>1852.7542358323381</v>
      </c>
    </row>
    <row r="60" spans="2:7" x14ac:dyDescent="0.3">
      <c r="B60" s="91">
        <v>41</v>
      </c>
      <c r="C60" s="92">
        <f t="shared" si="3"/>
        <v>43332</v>
      </c>
      <c r="D60" s="95">
        <f t="shared" si="4"/>
        <v>124.89030700377111</v>
      </c>
      <c r="E60" s="96">
        <f t="shared" si="0"/>
        <v>39.278389799645566</v>
      </c>
      <c r="F60" s="96">
        <f t="shared" si="5"/>
        <v>85.611917204125547</v>
      </c>
      <c r="G60" s="98">
        <f t="shared" si="6"/>
        <v>1767.1423186282125</v>
      </c>
    </row>
    <row r="61" spans="2:7" x14ac:dyDescent="0.3">
      <c r="B61" s="91">
        <v>42</v>
      </c>
      <c r="C61" s="92">
        <f t="shared" si="3"/>
        <v>43363</v>
      </c>
      <c r="D61" s="95">
        <f t="shared" si="4"/>
        <v>124.89030700377111</v>
      </c>
      <c r="E61" s="96">
        <f t="shared" si="0"/>
        <v>37.463417154918105</v>
      </c>
      <c r="F61" s="96">
        <f t="shared" si="5"/>
        <v>87.426889848853008</v>
      </c>
      <c r="G61" s="98">
        <f t="shared" si="6"/>
        <v>1679.7154287793594</v>
      </c>
    </row>
    <row r="62" spans="2:7" x14ac:dyDescent="0.3">
      <c r="B62" s="91">
        <v>43</v>
      </c>
      <c r="C62" s="92">
        <f t="shared" si="3"/>
        <v>43393</v>
      </c>
      <c r="D62" s="95">
        <f t="shared" si="4"/>
        <v>124.89030700377111</v>
      </c>
      <c r="E62" s="96">
        <f t="shared" si="0"/>
        <v>35.609967090122417</v>
      </c>
      <c r="F62" s="96">
        <f t="shared" si="5"/>
        <v>89.280339913648703</v>
      </c>
      <c r="G62" s="98">
        <f t="shared" si="6"/>
        <v>1590.4350888657107</v>
      </c>
    </row>
    <row r="63" spans="2:7" x14ac:dyDescent="0.3">
      <c r="B63" s="91">
        <v>44</v>
      </c>
      <c r="C63" s="92">
        <f t="shared" si="3"/>
        <v>43424</v>
      </c>
      <c r="D63" s="95">
        <f t="shared" si="4"/>
        <v>124.89030700377111</v>
      </c>
      <c r="E63" s="96">
        <f t="shared" si="0"/>
        <v>33.717223883953068</v>
      </c>
      <c r="F63" s="96">
        <f t="shared" si="5"/>
        <v>91.173083119818045</v>
      </c>
      <c r="G63" s="98">
        <f t="shared" si="6"/>
        <v>1499.2620057458926</v>
      </c>
    </row>
    <row r="64" spans="2:7" x14ac:dyDescent="0.3">
      <c r="B64" s="91">
        <v>45</v>
      </c>
      <c r="C64" s="92">
        <f t="shared" si="3"/>
        <v>43454</v>
      </c>
      <c r="D64" s="95">
        <f t="shared" si="4"/>
        <v>124.89030700377111</v>
      </c>
      <c r="E64" s="96">
        <f t="shared" si="0"/>
        <v>31.784354521812922</v>
      </c>
      <c r="F64" s="96">
        <f t="shared" si="5"/>
        <v>93.105952481958184</v>
      </c>
      <c r="G64" s="98">
        <f t="shared" si="6"/>
        <v>1406.1560532639344</v>
      </c>
    </row>
    <row r="65" spans="2:7" x14ac:dyDescent="0.3">
      <c r="B65" s="91">
        <v>46</v>
      </c>
      <c r="C65" s="92">
        <f t="shared" si="3"/>
        <v>43485</v>
      </c>
      <c r="D65" s="95">
        <f t="shared" si="4"/>
        <v>124.89030700377111</v>
      </c>
      <c r="E65" s="96">
        <f t="shared" si="0"/>
        <v>29.810508329195407</v>
      </c>
      <c r="F65" s="96">
        <f t="shared" si="5"/>
        <v>95.079798674575699</v>
      </c>
      <c r="G65" s="98">
        <f t="shared" si="6"/>
        <v>1311.0762545893588</v>
      </c>
    </row>
    <row r="66" spans="2:7" x14ac:dyDescent="0.3">
      <c r="B66" s="91">
        <v>47</v>
      </c>
      <c r="C66" s="92">
        <f t="shared" si="3"/>
        <v>43516</v>
      </c>
      <c r="D66" s="95">
        <f t="shared" si="4"/>
        <v>124.89030700377111</v>
      </c>
      <c r="E66" s="96">
        <f t="shared" si="0"/>
        <v>27.794816597294407</v>
      </c>
      <c r="F66" s="96">
        <f t="shared" si="5"/>
        <v>97.095490406476699</v>
      </c>
      <c r="G66" s="98">
        <f t="shared" si="6"/>
        <v>1213.980764182882</v>
      </c>
    </row>
    <row r="67" spans="2:7" x14ac:dyDescent="0.3">
      <c r="B67" s="91">
        <v>48</v>
      </c>
      <c r="C67" s="92">
        <f t="shared" si="3"/>
        <v>43544</v>
      </c>
      <c r="D67" s="95">
        <f t="shared" si="4"/>
        <v>124.89030700377111</v>
      </c>
      <c r="E67" s="96">
        <f t="shared" si="0"/>
        <v>25.736392200677098</v>
      </c>
      <c r="F67" s="96">
        <f t="shared" si="5"/>
        <v>99.153914803094011</v>
      </c>
      <c r="G67" s="98">
        <f t="shared" si="6"/>
        <v>1114.826849379788</v>
      </c>
    </row>
    <row r="68" spans="2:7" x14ac:dyDescent="0.3">
      <c r="B68" s="91">
        <v>49</v>
      </c>
      <c r="C68" s="92">
        <f t="shared" si="3"/>
        <v>43575</v>
      </c>
      <c r="D68" s="95">
        <f t="shared" si="4"/>
        <v>124.89030700377111</v>
      </c>
      <c r="E68" s="96">
        <f t="shared" si="0"/>
        <v>23.634329206851504</v>
      </c>
      <c r="F68" s="96">
        <f t="shared" si="5"/>
        <v>101.25597779691961</v>
      </c>
      <c r="G68" s="98">
        <f t="shared" si="6"/>
        <v>1013.5708715828683</v>
      </c>
    </row>
    <row r="69" spans="2:7" x14ac:dyDescent="0.3">
      <c r="B69" s="91">
        <v>50</v>
      </c>
      <c r="C69" s="92">
        <f t="shared" si="3"/>
        <v>43605</v>
      </c>
      <c r="D69" s="95">
        <f t="shared" si="4"/>
        <v>124.89030700377111</v>
      </c>
      <c r="E69" s="96">
        <f t="shared" si="0"/>
        <v>21.487702477556809</v>
      </c>
      <c r="F69" s="96">
        <f t="shared" si="5"/>
        <v>103.4026045262143</v>
      </c>
      <c r="G69" s="98">
        <f t="shared" si="6"/>
        <v>910.16826705665403</v>
      </c>
    </row>
    <row r="70" spans="2:7" x14ac:dyDescent="0.3">
      <c r="B70" s="91">
        <v>51</v>
      </c>
      <c r="C70" s="92">
        <f t="shared" si="3"/>
        <v>43636</v>
      </c>
      <c r="D70" s="95">
        <f t="shared" si="4"/>
        <v>124.89030700377111</v>
      </c>
      <c r="E70" s="96">
        <f t="shared" si="0"/>
        <v>19.295567261601065</v>
      </c>
      <c r="F70" s="96">
        <f t="shared" si="5"/>
        <v>105.59473974217005</v>
      </c>
      <c r="G70" s="98">
        <f t="shared" si="6"/>
        <v>804.57352731448395</v>
      </c>
    </row>
    <row r="71" spans="2:7" x14ac:dyDescent="0.3">
      <c r="B71" s="91">
        <v>52</v>
      </c>
      <c r="C71" s="92">
        <f t="shared" si="3"/>
        <v>43666</v>
      </c>
      <c r="D71" s="95">
        <f t="shared" si="4"/>
        <v>124.89030700377111</v>
      </c>
      <c r="E71" s="96">
        <f t="shared" si="0"/>
        <v>17.05695877906706</v>
      </c>
      <c r="F71" s="96">
        <f t="shared" si="5"/>
        <v>107.83334822470405</v>
      </c>
      <c r="G71" s="98">
        <f t="shared" si="6"/>
        <v>696.74017908977987</v>
      </c>
    </row>
    <row r="72" spans="2:7" x14ac:dyDescent="0.3">
      <c r="B72" s="91">
        <v>53</v>
      </c>
      <c r="C72" s="92">
        <f t="shared" si="3"/>
        <v>43697</v>
      </c>
      <c r="D72" s="95">
        <f t="shared" si="4"/>
        <v>124.89030700377111</v>
      </c>
      <c r="E72" s="96">
        <f t="shared" si="0"/>
        <v>14.770891796703333</v>
      </c>
      <c r="F72" s="96">
        <f t="shared" si="5"/>
        <v>110.11941520706777</v>
      </c>
      <c r="G72" s="98">
        <f t="shared" si="6"/>
        <v>586.62076388271214</v>
      </c>
    </row>
    <row r="73" spans="2:7" x14ac:dyDescent="0.3">
      <c r="B73" s="91">
        <v>54</v>
      </c>
      <c r="C73" s="92">
        <f t="shared" si="3"/>
        <v>43728</v>
      </c>
      <c r="D73" s="95">
        <f t="shared" si="4"/>
        <v>124.89030700377111</v>
      </c>
      <c r="E73" s="96">
        <f t="shared" si="0"/>
        <v>12.436360194313497</v>
      </c>
      <c r="F73" s="96">
        <f t="shared" si="5"/>
        <v>112.45394680945762</v>
      </c>
      <c r="G73" s="98">
        <f t="shared" si="6"/>
        <v>474.16681707325449</v>
      </c>
    </row>
    <row r="74" spans="2:7" x14ac:dyDescent="0.3">
      <c r="B74" s="91">
        <v>55</v>
      </c>
      <c r="C74" s="92">
        <f t="shared" si="3"/>
        <v>43758</v>
      </c>
      <c r="D74" s="95">
        <f t="shared" si="4"/>
        <v>124.89030700377111</v>
      </c>
      <c r="E74" s="96">
        <f t="shared" si="0"/>
        <v>10.052336521952995</v>
      </c>
      <c r="F74" s="96">
        <f t="shared" si="5"/>
        <v>114.83797048181812</v>
      </c>
      <c r="G74" s="98">
        <f t="shared" si="6"/>
        <v>359.32884659143639</v>
      </c>
    </row>
    <row r="75" spans="2:7" x14ac:dyDescent="0.3">
      <c r="B75" s="91">
        <v>56</v>
      </c>
      <c r="C75" s="92">
        <f t="shared" si="3"/>
        <v>43789</v>
      </c>
      <c r="D75" s="95">
        <f t="shared" si="4"/>
        <v>124.89030700377111</v>
      </c>
      <c r="E75" s="96">
        <f t="shared" si="0"/>
        <v>7.6177715477384513</v>
      </c>
      <c r="F75" s="96">
        <f t="shared" si="5"/>
        <v>117.27253545603266</v>
      </c>
      <c r="G75" s="98">
        <f t="shared" si="6"/>
        <v>242.05631113540375</v>
      </c>
    </row>
    <row r="76" spans="2:7" x14ac:dyDescent="0.3">
      <c r="B76" s="91">
        <v>57</v>
      </c>
      <c r="C76" s="92">
        <f t="shared" si="3"/>
        <v>43819</v>
      </c>
      <c r="D76" s="95">
        <f t="shared" si="4"/>
        <v>124.89030700377111</v>
      </c>
      <c r="E76" s="96">
        <f t="shared" si="0"/>
        <v>5.1315937960705593</v>
      </c>
      <c r="F76" s="96">
        <f t="shared" si="5"/>
        <v>119.75871320770055</v>
      </c>
      <c r="G76" s="98">
        <f t="shared" si="6"/>
        <v>122.29759792770319</v>
      </c>
    </row>
    <row r="77" spans="2:7" x14ac:dyDescent="0.3">
      <c r="B77" s="91">
        <v>58</v>
      </c>
      <c r="C77" s="92">
        <f t="shared" si="3"/>
        <v>43850</v>
      </c>
      <c r="D77" s="95">
        <f t="shared" si="4"/>
        <v>124.89030700377111</v>
      </c>
      <c r="E77" s="96">
        <f t="shared" si="0"/>
        <v>2.5927090760673077</v>
      </c>
      <c r="F77" s="96">
        <f t="shared" si="5"/>
        <v>122.2975979277038</v>
      </c>
      <c r="G77" s="98">
        <f t="shared" si="6"/>
        <v>-6.1106675275368616E-13</v>
      </c>
    </row>
  </sheetData>
  <mergeCells count="11">
    <mergeCell ref="E11:F11"/>
    <mergeCell ref="E12:F12"/>
    <mergeCell ref="E13:F13"/>
    <mergeCell ref="E14:F14"/>
    <mergeCell ref="B17:G17"/>
    <mergeCell ref="E9:F9"/>
    <mergeCell ref="B1:G1"/>
    <mergeCell ref="C3:G3"/>
    <mergeCell ref="C4:G4"/>
    <mergeCell ref="E7:F7"/>
    <mergeCell ref="E8:F8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70"/>
  <sheetViews>
    <sheetView topLeftCell="A37" workbookViewId="0">
      <selection activeCell="B54" sqref="B54"/>
    </sheetView>
  </sheetViews>
  <sheetFormatPr defaultRowHeight="14.4" x14ac:dyDescent="0.3"/>
  <cols>
    <col min="1" max="1" width="2.6640625" customWidth="1"/>
    <col min="2" max="2" width="19.5546875" customWidth="1"/>
    <col min="3" max="3" width="14.33203125" style="13" bestFit="1" customWidth="1"/>
    <col min="4" max="4" width="12.5546875" style="13" customWidth="1"/>
    <col min="5" max="5" width="13.77734375" style="2" customWidth="1"/>
    <col min="6" max="6" width="16" style="4" customWidth="1"/>
    <col min="7" max="7" width="13.88671875" style="4" customWidth="1"/>
    <col min="8" max="8" width="25.5546875" style="5" bestFit="1" customWidth="1"/>
    <col min="9" max="9" width="13.5546875" bestFit="1" customWidth="1"/>
    <col min="10" max="10" width="13.33203125" bestFit="1" customWidth="1"/>
  </cols>
  <sheetData>
    <row r="1" spans="2:9" ht="17.399999999999999" x14ac:dyDescent="0.35">
      <c r="B1" s="153" t="s">
        <v>45</v>
      </c>
      <c r="C1" s="154"/>
      <c r="D1" s="154"/>
      <c r="E1" s="154"/>
      <c r="F1" s="154"/>
      <c r="G1" s="154"/>
      <c r="H1" s="155"/>
    </row>
    <row r="2" spans="2:9" ht="17.399999999999999" x14ac:dyDescent="0.35">
      <c r="B2" s="58"/>
      <c r="C2" s="58"/>
      <c r="D2" s="58"/>
      <c r="E2" s="58"/>
      <c r="F2" s="58"/>
      <c r="G2" s="58"/>
      <c r="H2" s="58"/>
    </row>
    <row r="3" spans="2:9" x14ac:dyDescent="0.3">
      <c r="B3" s="16" t="s">
        <v>30</v>
      </c>
      <c r="C3" s="147" t="str">
        <f>'DADOS DO CONTRATO E CAPITALIZ'!C3</f>
        <v>XXXXXXXX</v>
      </c>
      <c r="D3" s="147"/>
      <c r="E3" s="148"/>
      <c r="F3" s="148"/>
      <c r="G3" s="148"/>
      <c r="H3" s="149"/>
    </row>
    <row r="4" spans="2:9" x14ac:dyDescent="0.3">
      <c r="B4" s="18" t="s">
        <v>31</v>
      </c>
      <c r="C4" s="150" t="str">
        <f>'DADOS DO CONTRATO E CAPITALIZ'!C4</f>
        <v>SANTANDER</v>
      </c>
      <c r="D4" s="150"/>
      <c r="E4" s="151"/>
      <c r="F4" s="151"/>
      <c r="G4" s="151"/>
      <c r="H4" s="152"/>
    </row>
    <row r="5" spans="2:9" x14ac:dyDescent="0.3">
      <c r="B5" s="21" t="s">
        <v>33</v>
      </c>
      <c r="C5" s="25" t="str">
        <f>'DADOS DO CONTRATO E CAPITALIZ'!C5</f>
        <v>0000</v>
      </c>
      <c r="D5" s="25"/>
      <c r="E5" s="22"/>
      <c r="F5" s="109" t="s">
        <v>38</v>
      </c>
      <c r="G5" s="23"/>
      <c r="H5" s="26">
        <f>'DADOS DO CONTRATO E CAPITALIZ'!F4</f>
        <v>42045</v>
      </c>
    </row>
    <row r="6" spans="2:9" x14ac:dyDescent="0.3">
      <c r="B6" s="1"/>
      <c r="E6" s="15"/>
    </row>
    <row r="7" spans="2:9" x14ac:dyDescent="0.3">
      <c r="B7" s="36" t="s">
        <v>0</v>
      </c>
      <c r="C7" s="37">
        <f>'DADOS DO CONTRATO E CAPITALIZ'!C7</f>
        <v>4003.28</v>
      </c>
      <c r="D7" s="60"/>
      <c r="E7" s="73" t="s">
        <v>9</v>
      </c>
      <c r="F7" s="74"/>
      <c r="G7" s="37">
        <f>'DADOS DO CONTRATO E CAPITALIZ'!C17</f>
        <v>136.53</v>
      </c>
      <c r="H7"/>
    </row>
    <row r="8" spans="2:9" x14ac:dyDescent="0.3">
      <c r="B8" s="38" t="s">
        <v>1</v>
      </c>
      <c r="C8" s="39">
        <f>'DADOS DO CONTRATO E CAPITALIZ'!C8</f>
        <v>122.89</v>
      </c>
      <c r="D8" s="60"/>
      <c r="E8" s="75" t="s">
        <v>10</v>
      </c>
      <c r="F8" s="76"/>
      <c r="G8" s="46">
        <f>'DADOS DO CONTRATO E CAPITALIZ'!C18</f>
        <v>58</v>
      </c>
      <c r="H8"/>
    </row>
    <row r="9" spans="2:9" x14ac:dyDescent="0.3">
      <c r="B9" s="38" t="s">
        <v>2</v>
      </c>
      <c r="C9" s="39">
        <f>'DADOS DO CONTRATO E CAPITALIZ'!C9</f>
        <v>20</v>
      </c>
      <c r="D9" s="60"/>
      <c r="E9" s="77" t="s">
        <v>37</v>
      </c>
      <c r="F9" s="78"/>
      <c r="G9" s="47">
        <f>'DADOS DO CONTRATO E CAPITALIZ'!C19</f>
        <v>7918.74</v>
      </c>
      <c r="H9"/>
    </row>
    <row r="10" spans="2:9" x14ac:dyDescent="0.3">
      <c r="B10" s="38" t="s">
        <v>3</v>
      </c>
      <c r="C10" s="39">
        <f>'DADOS DO CONTRATO E CAPITALIZ'!C10</f>
        <v>0</v>
      </c>
      <c r="D10" s="60"/>
      <c r="E10" s="4"/>
      <c r="G10" s="5"/>
      <c r="H10"/>
    </row>
    <row r="11" spans="2:9" x14ac:dyDescent="0.3">
      <c r="B11" s="38" t="s">
        <v>4</v>
      </c>
      <c r="C11" s="39">
        <f>'DADOS DO CONTRATO E CAPITALIZ'!C11</f>
        <v>0</v>
      </c>
      <c r="D11" s="60"/>
      <c r="E11" s="73" t="s">
        <v>42</v>
      </c>
      <c r="F11" s="74"/>
      <c r="G11" s="44">
        <f>'tabela price_INSS'!G11</f>
        <v>2.12E-2</v>
      </c>
      <c r="H11" s="107" t="s">
        <v>54</v>
      </c>
      <c r="I11" s="79"/>
    </row>
    <row r="12" spans="2:9" x14ac:dyDescent="0.3">
      <c r="B12" s="38" t="s">
        <v>4</v>
      </c>
      <c r="C12" s="39">
        <f>'DADOS DO CONTRATO E CAPITALIZ'!C12</f>
        <v>0</v>
      </c>
      <c r="D12" s="60"/>
      <c r="E12" s="124" t="s">
        <v>43</v>
      </c>
      <c r="F12" s="125"/>
      <c r="G12" s="126"/>
      <c r="H12" s="108">
        <f>(G13/G11)-1</f>
        <v>0.10377358490566047</v>
      </c>
      <c r="I12" s="80"/>
    </row>
    <row r="13" spans="2:9" x14ac:dyDescent="0.3">
      <c r="B13" s="38" t="s">
        <v>4</v>
      </c>
      <c r="C13" s="39">
        <f>'DADOS DO CONTRATO E CAPITALIZ'!C13</f>
        <v>0</v>
      </c>
      <c r="D13" s="60"/>
      <c r="E13" s="161" t="s">
        <v>13</v>
      </c>
      <c r="F13" s="162"/>
      <c r="G13" s="28">
        <f>'tabela price_INSS'!G13</f>
        <v>2.3400000000000001E-2</v>
      </c>
      <c r="H13"/>
    </row>
    <row r="14" spans="2:9" x14ac:dyDescent="0.3">
      <c r="B14" s="40" t="s">
        <v>5</v>
      </c>
      <c r="C14" s="41">
        <f>SUM(C7:C13)</f>
        <v>4146.17</v>
      </c>
      <c r="D14" s="61"/>
      <c r="E14" s="163" t="s">
        <v>14</v>
      </c>
      <c r="F14" s="164"/>
      <c r="G14" s="29">
        <f>'tabela price_INSS'!G14</f>
        <v>0.32019999999999998</v>
      </c>
      <c r="H14"/>
    </row>
    <row r="15" spans="2:9" x14ac:dyDescent="0.3">
      <c r="B15" s="42" t="s">
        <v>36</v>
      </c>
      <c r="C15" s="43">
        <f>'DADOS DO CONTRATO E CAPITALIZ'!F5</f>
        <v>42114</v>
      </c>
      <c r="D15" s="19"/>
      <c r="E15" s="5"/>
      <c r="F15"/>
      <c r="G15"/>
      <c r="H15"/>
    </row>
    <row r="17" spans="2:9" x14ac:dyDescent="0.3">
      <c r="B17" s="160" t="s">
        <v>41</v>
      </c>
      <c r="C17" s="160"/>
      <c r="D17" s="160"/>
      <c r="E17" s="160"/>
      <c r="F17" s="160"/>
      <c r="G17" s="103"/>
      <c r="H17" s="103"/>
      <c r="I17" s="103"/>
    </row>
    <row r="18" spans="2:9" s="4" customFormat="1" x14ac:dyDescent="0.3">
      <c r="B18" s="48" t="s">
        <v>24</v>
      </c>
      <c r="C18" s="49" t="s">
        <v>25</v>
      </c>
      <c r="D18" s="49" t="s">
        <v>46</v>
      </c>
      <c r="E18" s="50" t="s">
        <v>47</v>
      </c>
      <c r="F18" s="51" t="s">
        <v>48</v>
      </c>
    </row>
    <row r="19" spans="2:9" x14ac:dyDescent="0.3">
      <c r="B19" s="52">
        <v>0</v>
      </c>
      <c r="C19" s="53">
        <f>'DADOS DO CONTRATO E CAPITALIZ'!F4</f>
        <v>42045</v>
      </c>
      <c r="D19" s="53"/>
      <c r="E19" s="54"/>
      <c r="F19" s="55"/>
      <c r="G19"/>
      <c r="H19"/>
    </row>
    <row r="20" spans="2:9" x14ac:dyDescent="0.3">
      <c r="B20" s="52">
        <v>1</v>
      </c>
      <c r="C20" s="53">
        <f>C15</f>
        <v>42114</v>
      </c>
      <c r="D20" s="56">
        <f>'tabela price_FINANCEIRA'!D20</f>
        <v>136.53</v>
      </c>
      <c r="E20" s="104">
        <f>'tabela price_INSS'!D20</f>
        <v>124.89030700377111</v>
      </c>
      <c r="F20" s="56">
        <f>D20-E20</f>
        <v>11.639692996228888</v>
      </c>
      <c r="G20"/>
      <c r="H20"/>
    </row>
    <row r="21" spans="2:9" x14ac:dyDescent="0.3">
      <c r="B21" s="52">
        <v>2</v>
      </c>
      <c r="C21" s="53">
        <f>EDATE(C20,1)</f>
        <v>42144</v>
      </c>
      <c r="D21" s="56">
        <f>'tabela price_FINANCEIRA'!D21</f>
        <v>136.53</v>
      </c>
      <c r="E21" s="104">
        <f>E20</f>
        <v>124.89030700377111</v>
      </c>
      <c r="F21" s="56">
        <f t="shared" ref="F21:F24" si="0">D21-E21</f>
        <v>11.639692996228888</v>
      </c>
      <c r="G21"/>
      <c r="H21"/>
    </row>
    <row r="22" spans="2:9" x14ac:dyDescent="0.3">
      <c r="B22" s="52">
        <v>3</v>
      </c>
      <c r="C22" s="53">
        <f t="shared" ref="C22:C24" si="1">EDATE(C21,1)</f>
        <v>42175</v>
      </c>
      <c r="D22" s="56">
        <f>'tabela price_FINANCEIRA'!D22</f>
        <v>136.53</v>
      </c>
      <c r="E22" s="104">
        <f t="shared" ref="E22:E24" si="2">E21</f>
        <v>124.89030700377111</v>
      </c>
      <c r="F22" s="56">
        <f t="shared" si="0"/>
        <v>11.639692996228888</v>
      </c>
      <c r="G22"/>
      <c r="H22"/>
    </row>
    <row r="23" spans="2:9" x14ac:dyDescent="0.3">
      <c r="B23" s="52">
        <v>4</v>
      </c>
      <c r="C23" s="53">
        <f t="shared" si="1"/>
        <v>42205</v>
      </c>
      <c r="D23" s="56">
        <f>'tabela price_FINANCEIRA'!D23</f>
        <v>136.53</v>
      </c>
      <c r="E23" s="104">
        <f t="shared" si="2"/>
        <v>124.89030700377111</v>
      </c>
      <c r="F23" s="56">
        <f t="shared" si="0"/>
        <v>11.639692996228888</v>
      </c>
      <c r="G23"/>
      <c r="H23"/>
    </row>
    <row r="24" spans="2:9" x14ac:dyDescent="0.3">
      <c r="B24" s="52">
        <v>5</v>
      </c>
      <c r="C24" s="53">
        <f t="shared" si="1"/>
        <v>42236</v>
      </c>
      <c r="D24" s="56">
        <f>'tabela price_FINANCEIRA'!D24</f>
        <v>136.53</v>
      </c>
      <c r="E24" s="104">
        <f t="shared" si="2"/>
        <v>124.89030700377111</v>
      </c>
      <c r="F24" s="56">
        <f t="shared" si="0"/>
        <v>11.639692996228888</v>
      </c>
      <c r="G24"/>
      <c r="H24"/>
    </row>
    <row r="25" spans="2:9" x14ac:dyDescent="0.3">
      <c r="B25" s="52">
        <v>6</v>
      </c>
      <c r="C25" s="53">
        <f>EDATE(C24,1)</f>
        <v>42267</v>
      </c>
      <c r="D25" s="56">
        <f>'tabela price_FINANCEIRA'!D25</f>
        <v>136.53</v>
      </c>
      <c r="E25" s="104">
        <f>E24</f>
        <v>124.89030700377111</v>
      </c>
      <c r="F25" s="56">
        <f>D25-E25</f>
        <v>11.639692996228888</v>
      </c>
      <c r="G25"/>
      <c r="H25"/>
    </row>
    <row r="26" spans="2:9" x14ac:dyDescent="0.3">
      <c r="B26" s="52">
        <v>7</v>
      </c>
      <c r="C26" s="53">
        <f>EDATE(C25,1)</f>
        <v>42297</v>
      </c>
      <c r="D26" s="56">
        <f>'tabela price_FINANCEIRA'!D26</f>
        <v>136.53</v>
      </c>
      <c r="E26" s="104">
        <f>E25</f>
        <v>124.89030700377111</v>
      </c>
      <c r="F26" s="56">
        <f>D26-E26</f>
        <v>11.639692996228888</v>
      </c>
      <c r="G26"/>
      <c r="H26"/>
    </row>
    <row r="27" spans="2:9" x14ac:dyDescent="0.3">
      <c r="B27" s="52">
        <v>8</v>
      </c>
      <c r="C27" s="53">
        <f>EDATE(C26,1)</f>
        <v>42328</v>
      </c>
      <c r="D27" s="56">
        <f>'tabela price_FINANCEIRA'!D27</f>
        <v>136.53</v>
      </c>
      <c r="E27" s="104">
        <f>E26</f>
        <v>124.89030700377111</v>
      </c>
      <c r="F27" s="56">
        <f>D27-E27</f>
        <v>11.639692996228888</v>
      </c>
      <c r="G27"/>
      <c r="H27"/>
    </row>
    <row r="28" spans="2:9" x14ac:dyDescent="0.3">
      <c r="B28" s="52">
        <v>9</v>
      </c>
      <c r="C28" s="53">
        <f>EDATE(C27,1)</f>
        <v>42358</v>
      </c>
      <c r="D28" s="56">
        <f>'tabela price_FINANCEIRA'!D28</f>
        <v>136.53</v>
      </c>
      <c r="E28" s="104">
        <f>E27</f>
        <v>124.89030700377111</v>
      </c>
      <c r="F28" s="56">
        <f>D28-E28</f>
        <v>11.639692996228888</v>
      </c>
      <c r="G28"/>
      <c r="H28"/>
    </row>
    <row r="29" spans="2:9" x14ac:dyDescent="0.3">
      <c r="B29" s="52">
        <v>10</v>
      </c>
      <c r="C29" s="53">
        <f>EDATE(C28,1)</f>
        <v>42389</v>
      </c>
      <c r="D29" s="56">
        <f>'tabela price_FINANCEIRA'!D29</f>
        <v>136.53</v>
      </c>
      <c r="E29" s="104">
        <f>E28</f>
        <v>124.89030700377111</v>
      </c>
      <c r="F29" s="56">
        <f>D29-E29</f>
        <v>11.639692996228888</v>
      </c>
      <c r="G29"/>
      <c r="H29"/>
    </row>
    <row r="30" spans="2:9" x14ac:dyDescent="0.3">
      <c r="B30" s="52">
        <v>11</v>
      </c>
      <c r="C30" s="53">
        <f t="shared" ref="C30:C49" si="3">EDATE(C29,1)</f>
        <v>42420</v>
      </c>
      <c r="D30" s="56">
        <f>'tabela price_FINANCEIRA'!D30</f>
        <v>136.53</v>
      </c>
      <c r="E30" s="104">
        <f t="shared" ref="E30:E49" si="4">E29</f>
        <v>124.89030700377111</v>
      </c>
      <c r="F30" s="56">
        <f t="shared" ref="F30:F49" si="5">D30-E30</f>
        <v>11.639692996228888</v>
      </c>
      <c r="G30" s="102"/>
      <c r="H30"/>
    </row>
    <row r="31" spans="2:9" x14ac:dyDescent="0.3">
      <c r="B31" s="52">
        <v>12</v>
      </c>
      <c r="C31" s="53">
        <f t="shared" si="3"/>
        <v>42449</v>
      </c>
      <c r="D31" s="56">
        <f>'tabela price_FINANCEIRA'!D31</f>
        <v>136.53</v>
      </c>
      <c r="E31" s="104">
        <f t="shared" si="4"/>
        <v>124.89030700377111</v>
      </c>
      <c r="F31" s="56">
        <f t="shared" si="5"/>
        <v>11.639692996228888</v>
      </c>
      <c r="G31" s="102"/>
      <c r="H31"/>
    </row>
    <row r="32" spans="2:9" x14ac:dyDescent="0.3">
      <c r="B32" s="52">
        <v>13</v>
      </c>
      <c r="C32" s="53">
        <f t="shared" si="3"/>
        <v>42480</v>
      </c>
      <c r="D32" s="56">
        <f>'tabela price_FINANCEIRA'!D32</f>
        <v>136.53</v>
      </c>
      <c r="E32" s="104">
        <f t="shared" si="4"/>
        <v>124.89030700377111</v>
      </c>
      <c r="F32" s="56">
        <f t="shared" si="5"/>
        <v>11.639692996228888</v>
      </c>
      <c r="G32" s="102"/>
      <c r="H32"/>
    </row>
    <row r="33" spans="2:8" x14ac:dyDescent="0.3">
      <c r="B33" s="52">
        <v>14</v>
      </c>
      <c r="C33" s="53">
        <f t="shared" si="3"/>
        <v>42510</v>
      </c>
      <c r="D33" s="56">
        <f>'tabela price_FINANCEIRA'!D33</f>
        <v>136.53</v>
      </c>
      <c r="E33" s="104">
        <f t="shared" si="4"/>
        <v>124.89030700377111</v>
      </c>
      <c r="F33" s="56">
        <f t="shared" si="5"/>
        <v>11.639692996228888</v>
      </c>
      <c r="G33" s="102"/>
      <c r="H33"/>
    </row>
    <row r="34" spans="2:8" x14ac:dyDescent="0.3">
      <c r="B34" s="52">
        <v>15</v>
      </c>
      <c r="C34" s="53">
        <f t="shared" si="3"/>
        <v>42541</v>
      </c>
      <c r="D34" s="56">
        <f>'tabela price_FINANCEIRA'!D34</f>
        <v>136.53</v>
      </c>
      <c r="E34" s="104">
        <f t="shared" si="4"/>
        <v>124.89030700377111</v>
      </c>
      <c r="F34" s="56">
        <f t="shared" si="5"/>
        <v>11.639692996228888</v>
      </c>
      <c r="G34" s="102"/>
      <c r="H34"/>
    </row>
    <row r="35" spans="2:8" x14ac:dyDescent="0.3">
      <c r="B35" s="52">
        <v>16</v>
      </c>
      <c r="C35" s="53">
        <f t="shared" si="3"/>
        <v>42571</v>
      </c>
      <c r="D35" s="56">
        <f>'tabela price_FINANCEIRA'!D35</f>
        <v>136.53</v>
      </c>
      <c r="E35" s="104">
        <f t="shared" si="4"/>
        <v>124.89030700377111</v>
      </c>
      <c r="F35" s="56">
        <f t="shared" si="5"/>
        <v>11.639692996228888</v>
      </c>
      <c r="G35" s="102"/>
      <c r="H35"/>
    </row>
    <row r="36" spans="2:8" x14ac:dyDescent="0.3">
      <c r="B36" s="52">
        <v>17</v>
      </c>
      <c r="C36" s="53">
        <f t="shared" si="3"/>
        <v>42602</v>
      </c>
      <c r="D36" s="56">
        <f>'tabela price_FINANCEIRA'!D36</f>
        <v>136.53</v>
      </c>
      <c r="E36" s="104">
        <f t="shared" si="4"/>
        <v>124.89030700377111</v>
      </c>
      <c r="F36" s="56">
        <f t="shared" si="5"/>
        <v>11.639692996228888</v>
      </c>
      <c r="G36" s="102"/>
      <c r="H36"/>
    </row>
    <row r="37" spans="2:8" x14ac:dyDescent="0.3">
      <c r="B37" s="52">
        <v>18</v>
      </c>
      <c r="C37" s="53">
        <f t="shared" si="3"/>
        <v>42633</v>
      </c>
      <c r="D37" s="56">
        <f>'tabela price_FINANCEIRA'!D37</f>
        <v>136.53</v>
      </c>
      <c r="E37" s="104">
        <f t="shared" si="4"/>
        <v>124.89030700377111</v>
      </c>
      <c r="F37" s="56">
        <f t="shared" si="5"/>
        <v>11.639692996228888</v>
      </c>
      <c r="G37" s="102"/>
      <c r="H37"/>
    </row>
    <row r="38" spans="2:8" x14ac:dyDescent="0.3">
      <c r="B38" s="52">
        <v>19</v>
      </c>
      <c r="C38" s="53">
        <f t="shared" si="3"/>
        <v>42663</v>
      </c>
      <c r="D38" s="56">
        <f>'tabela price_FINANCEIRA'!D38</f>
        <v>136.53</v>
      </c>
      <c r="E38" s="104">
        <f t="shared" si="4"/>
        <v>124.89030700377111</v>
      </c>
      <c r="F38" s="56">
        <f t="shared" si="5"/>
        <v>11.639692996228888</v>
      </c>
      <c r="G38" s="102"/>
      <c r="H38"/>
    </row>
    <row r="39" spans="2:8" x14ac:dyDescent="0.3">
      <c r="B39" s="52">
        <v>20</v>
      </c>
      <c r="C39" s="53">
        <f t="shared" si="3"/>
        <v>42694</v>
      </c>
      <c r="D39" s="56">
        <f>'tabela price_FINANCEIRA'!D39</f>
        <v>136.53</v>
      </c>
      <c r="E39" s="104">
        <f t="shared" si="4"/>
        <v>124.89030700377111</v>
      </c>
      <c r="F39" s="56">
        <f t="shared" si="5"/>
        <v>11.639692996228888</v>
      </c>
      <c r="G39" s="102"/>
      <c r="H39"/>
    </row>
    <row r="40" spans="2:8" x14ac:dyDescent="0.3">
      <c r="B40" s="52">
        <v>21</v>
      </c>
      <c r="C40" s="53">
        <f t="shared" si="3"/>
        <v>42724</v>
      </c>
      <c r="D40" s="56">
        <f>'tabela price_FINANCEIRA'!D40</f>
        <v>136.53</v>
      </c>
      <c r="E40" s="104">
        <f t="shared" si="4"/>
        <v>124.89030700377111</v>
      </c>
      <c r="F40" s="56">
        <f t="shared" si="5"/>
        <v>11.639692996228888</v>
      </c>
      <c r="G40" s="102"/>
      <c r="H40"/>
    </row>
    <row r="41" spans="2:8" x14ac:dyDescent="0.3">
      <c r="B41" s="52">
        <v>22</v>
      </c>
      <c r="C41" s="53">
        <f t="shared" si="3"/>
        <v>42755</v>
      </c>
      <c r="D41" s="56">
        <f>'tabela price_FINANCEIRA'!D41</f>
        <v>136.53</v>
      </c>
      <c r="E41" s="104">
        <f t="shared" si="4"/>
        <v>124.89030700377111</v>
      </c>
      <c r="F41" s="56">
        <f t="shared" si="5"/>
        <v>11.639692996228888</v>
      </c>
      <c r="G41" s="102"/>
      <c r="H41"/>
    </row>
    <row r="42" spans="2:8" x14ac:dyDescent="0.3">
      <c r="B42" s="52">
        <v>23</v>
      </c>
      <c r="C42" s="53">
        <f t="shared" si="3"/>
        <v>42786</v>
      </c>
      <c r="D42" s="56">
        <f>'tabela price_FINANCEIRA'!D42</f>
        <v>136.53</v>
      </c>
      <c r="E42" s="104">
        <f t="shared" si="4"/>
        <v>124.89030700377111</v>
      </c>
      <c r="F42" s="56">
        <f t="shared" si="5"/>
        <v>11.639692996228888</v>
      </c>
      <c r="G42" s="102"/>
      <c r="H42"/>
    </row>
    <row r="43" spans="2:8" x14ac:dyDescent="0.3">
      <c r="B43" s="52">
        <v>24</v>
      </c>
      <c r="C43" s="53">
        <f t="shared" si="3"/>
        <v>42814</v>
      </c>
      <c r="D43" s="56">
        <f>'tabela price_FINANCEIRA'!D43</f>
        <v>136.53</v>
      </c>
      <c r="E43" s="104">
        <f t="shared" si="4"/>
        <v>124.89030700377111</v>
      </c>
      <c r="F43" s="56">
        <f t="shared" si="5"/>
        <v>11.639692996228888</v>
      </c>
      <c r="G43" s="102"/>
      <c r="H43"/>
    </row>
    <row r="44" spans="2:8" x14ac:dyDescent="0.3">
      <c r="B44" s="52">
        <v>25</v>
      </c>
      <c r="C44" s="53">
        <f t="shared" si="3"/>
        <v>42845</v>
      </c>
      <c r="D44" s="56">
        <f>'tabela price_FINANCEIRA'!D44</f>
        <v>136.53</v>
      </c>
      <c r="E44" s="104">
        <f t="shared" si="4"/>
        <v>124.89030700377111</v>
      </c>
      <c r="F44" s="56">
        <f t="shared" si="5"/>
        <v>11.639692996228888</v>
      </c>
      <c r="G44" s="102"/>
      <c r="H44"/>
    </row>
    <row r="45" spans="2:8" x14ac:dyDescent="0.3">
      <c r="B45" s="52">
        <v>26</v>
      </c>
      <c r="C45" s="53">
        <f t="shared" si="3"/>
        <v>42875</v>
      </c>
      <c r="D45" s="56">
        <f>'tabela price_FINANCEIRA'!D45</f>
        <v>136.53</v>
      </c>
      <c r="E45" s="104">
        <f t="shared" si="4"/>
        <v>124.89030700377111</v>
      </c>
      <c r="F45" s="56">
        <f t="shared" si="5"/>
        <v>11.639692996228888</v>
      </c>
      <c r="G45" s="102"/>
      <c r="H45"/>
    </row>
    <row r="46" spans="2:8" x14ac:dyDescent="0.3">
      <c r="B46" s="52">
        <v>27</v>
      </c>
      <c r="C46" s="53">
        <f t="shared" si="3"/>
        <v>42906</v>
      </c>
      <c r="D46" s="56">
        <f>'tabela price_FINANCEIRA'!D46</f>
        <v>136.53</v>
      </c>
      <c r="E46" s="104">
        <f t="shared" si="4"/>
        <v>124.89030700377111</v>
      </c>
      <c r="F46" s="56">
        <f t="shared" si="5"/>
        <v>11.639692996228888</v>
      </c>
      <c r="G46" s="102"/>
      <c r="H46"/>
    </row>
    <row r="47" spans="2:8" x14ac:dyDescent="0.3">
      <c r="B47" s="52">
        <v>28</v>
      </c>
      <c r="C47" s="53">
        <f t="shared" si="3"/>
        <v>42936</v>
      </c>
      <c r="D47" s="56">
        <f>'tabela price_FINANCEIRA'!D47</f>
        <v>136.53</v>
      </c>
      <c r="E47" s="104">
        <f t="shared" si="4"/>
        <v>124.89030700377111</v>
      </c>
      <c r="F47" s="56">
        <f t="shared" si="5"/>
        <v>11.639692996228888</v>
      </c>
      <c r="G47" s="102"/>
      <c r="H47"/>
    </row>
    <row r="48" spans="2:8" x14ac:dyDescent="0.3">
      <c r="B48" s="52">
        <v>29</v>
      </c>
      <c r="C48" s="53">
        <f t="shared" si="3"/>
        <v>42967</v>
      </c>
      <c r="D48" s="56">
        <f>'tabela price_FINANCEIRA'!D48</f>
        <v>136.53</v>
      </c>
      <c r="E48" s="104">
        <f t="shared" si="4"/>
        <v>124.89030700377111</v>
      </c>
      <c r="F48" s="56">
        <f t="shared" si="5"/>
        <v>11.639692996228888</v>
      </c>
      <c r="G48" s="102"/>
      <c r="H48"/>
    </row>
    <row r="49" spans="2:8" x14ac:dyDescent="0.3">
      <c r="B49" s="52">
        <v>30</v>
      </c>
      <c r="C49" s="53">
        <f t="shared" si="3"/>
        <v>42998</v>
      </c>
      <c r="D49" s="56">
        <f>'tabela price_FINANCEIRA'!D49</f>
        <v>136.53</v>
      </c>
      <c r="E49" s="104">
        <f t="shared" si="4"/>
        <v>124.89030700377111</v>
      </c>
      <c r="F49" s="56">
        <f t="shared" si="5"/>
        <v>11.639692996228888</v>
      </c>
      <c r="G49" s="102"/>
      <c r="H49"/>
    </row>
    <row r="50" spans="2:8" x14ac:dyDescent="0.3">
      <c r="B50" s="52"/>
      <c r="C50" s="53"/>
      <c r="D50" s="56"/>
      <c r="E50" s="104"/>
      <c r="F50" s="56"/>
      <c r="G50" s="102"/>
      <c r="H50"/>
    </row>
    <row r="51" spans="2:8" x14ac:dyDescent="0.3">
      <c r="B51" s="52"/>
      <c r="C51" s="53"/>
      <c r="D51" s="56"/>
      <c r="E51" s="104"/>
      <c r="F51" s="56"/>
      <c r="G51" s="102"/>
      <c r="H51"/>
    </row>
    <row r="52" spans="2:8" x14ac:dyDescent="0.3">
      <c r="B52" s="52"/>
      <c r="C52" s="53"/>
      <c r="D52" s="56"/>
      <c r="E52" s="104"/>
      <c r="F52" s="56"/>
      <c r="G52" s="102"/>
      <c r="H52"/>
    </row>
    <row r="53" spans="2:8" x14ac:dyDescent="0.3">
      <c r="B53" s="52"/>
      <c r="C53" s="53"/>
      <c r="D53" s="56"/>
      <c r="E53" s="104"/>
      <c r="F53" s="56"/>
      <c r="G53" s="102"/>
      <c r="H53"/>
    </row>
    <row r="54" spans="2:8" x14ac:dyDescent="0.3">
      <c r="B54" s="52"/>
      <c r="C54" s="53"/>
      <c r="D54" s="56"/>
      <c r="E54" s="104"/>
      <c r="F54" s="56"/>
      <c r="G54" s="102"/>
      <c r="H54"/>
    </row>
    <row r="55" spans="2:8" x14ac:dyDescent="0.3">
      <c r="B55" s="52"/>
      <c r="C55" s="53"/>
      <c r="D55" s="56"/>
      <c r="E55" s="104"/>
      <c r="F55" s="56"/>
      <c r="G55" s="102"/>
      <c r="H55"/>
    </row>
    <row r="56" spans="2:8" x14ac:dyDescent="0.3">
      <c r="B56" s="52"/>
      <c r="C56" s="53"/>
      <c r="D56" s="56"/>
      <c r="E56" s="104"/>
      <c r="F56" s="56"/>
      <c r="G56" s="102"/>
      <c r="H56"/>
    </row>
    <row r="57" spans="2:8" x14ac:dyDescent="0.3">
      <c r="B57" s="52"/>
      <c r="C57" s="53"/>
      <c r="D57" s="56"/>
      <c r="E57" s="104"/>
      <c r="F57" s="56"/>
      <c r="G57" s="102"/>
      <c r="H57"/>
    </row>
    <row r="58" spans="2:8" x14ac:dyDescent="0.3">
      <c r="B58" s="52"/>
      <c r="C58" s="53"/>
      <c r="D58" s="56"/>
      <c r="E58" s="104"/>
      <c r="F58" s="56"/>
      <c r="G58" s="102"/>
      <c r="H58"/>
    </row>
    <row r="59" spans="2:8" x14ac:dyDescent="0.3">
      <c r="B59" s="52"/>
      <c r="C59" s="53"/>
      <c r="D59" s="56"/>
      <c r="E59" s="104"/>
      <c r="F59" s="56"/>
      <c r="G59" s="102"/>
      <c r="H59"/>
    </row>
    <row r="60" spans="2:8" x14ac:dyDescent="0.3">
      <c r="B60" s="52"/>
      <c r="C60" s="53"/>
      <c r="D60" s="56"/>
      <c r="E60" s="104"/>
      <c r="F60" s="56"/>
      <c r="G60" s="102"/>
      <c r="H60"/>
    </row>
    <row r="61" spans="2:8" x14ac:dyDescent="0.3">
      <c r="B61" s="52"/>
      <c r="C61" s="53"/>
      <c r="D61" s="56"/>
      <c r="E61" s="104"/>
      <c r="F61" s="56"/>
      <c r="G61" s="102"/>
      <c r="H61"/>
    </row>
    <row r="62" spans="2:8" x14ac:dyDescent="0.3">
      <c r="B62" s="52"/>
      <c r="C62" s="53"/>
      <c r="D62" s="56"/>
      <c r="E62" s="104"/>
      <c r="F62" s="56"/>
      <c r="G62" s="102"/>
      <c r="H62"/>
    </row>
    <row r="63" spans="2:8" x14ac:dyDescent="0.3">
      <c r="B63" s="52"/>
      <c r="C63" s="53"/>
      <c r="D63" s="56"/>
      <c r="E63" s="104"/>
      <c r="F63" s="56"/>
      <c r="G63" s="102"/>
      <c r="H63"/>
    </row>
    <row r="64" spans="2:8" x14ac:dyDescent="0.3">
      <c r="B64" s="52"/>
      <c r="C64" s="53"/>
      <c r="D64" s="56"/>
      <c r="E64" s="104"/>
      <c r="F64" s="56"/>
      <c r="G64" s="102"/>
      <c r="H64"/>
    </row>
    <row r="65" spans="2:8" x14ac:dyDescent="0.3">
      <c r="B65" s="52"/>
      <c r="C65" s="53"/>
      <c r="D65" s="56"/>
      <c r="E65" s="104"/>
      <c r="F65" s="56"/>
      <c r="G65" s="102"/>
      <c r="H65"/>
    </row>
    <row r="66" spans="2:8" x14ac:dyDescent="0.3">
      <c r="B66" s="52"/>
      <c r="C66" s="53"/>
      <c r="D66" s="56"/>
      <c r="E66" s="104"/>
      <c r="F66" s="56"/>
      <c r="G66" s="102"/>
      <c r="H66"/>
    </row>
    <row r="67" spans="2:8" x14ac:dyDescent="0.3">
      <c r="B67" s="52"/>
      <c r="C67" s="53"/>
      <c r="D67" s="56"/>
      <c r="E67" s="104"/>
      <c r="F67" s="56"/>
      <c r="G67" s="102"/>
      <c r="H67"/>
    </row>
    <row r="68" spans="2:8" x14ac:dyDescent="0.3">
      <c r="B68" s="105" t="s">
        <v>49</v>
      </c>
      <c r="C68" s="105"/>
      <c r="D68" s="105"/>
      <c r="E68" s="105"/>
      <c r="F68" s="105">
        <f>SUM(F20:F67)</f>
        <v>349.19078988686647</v>
      </c>
      <c r="G68"/>
      <c r="H68"/>
    </row>
    <row r="70" spans="2:8" x14ac:dyDescent="0.3">
      <c r="D70" s="106" t="s">
        <v>50</v>
      </c>
      <c r="E70" s="106"/>
      <c r="F70" s="62">
        <f>F68*2</f>
        <v>698.38157977373294</v>
      </c>
    </row>
  </sheetData>
  <mergeCells count="6">
    <mergeCell ref="B1:H1"/>
    <mergeCell ref="C3:H3"/>
    <mergeCell ref="C4:H4"/>
    <mergeCell ref="B17:F17"/>
    <mergeCell ref="E13:F13"/>
    <mergeCell ref="E14:F1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5"/>
  <sheetViews>
    <sheetView showGridLines="0" topLeftCell="A14" zoomScale="145" zoomScaleNormal="145" workbookViewId="0">
      <selection activeCell="F32" sqref="F32"/>
    </sheetView>
  </sheetViews>
  <sheetFormatPr defaultRowHeight="14.4" x14ac:dyDescent="0.3"/>
  <cols>
    <col min="2" max="2" width="31.109375" bestFit="1" customWidth="1"/>
    <col min="3" max="3" width="14.33203125" style="4" bestFit="1" customWidth="1"/>
    <col min="4" max="4" width="9.88671875" customWidth="1"/>
    <col min="5" max="5" width="30.77734375" bestFit="1" customWidth="1"/>
    <col min="6" max="6" width="1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35" t="s">
        <v>52</v>
      </c>
      <c r="C1" s="136"/>
      <c r="D1" s="136"/>
      <c r="E1" s="136"/>
      <c r="F1" s="137"/>
    </row>
    <row r="2" spans="2:6" x14ac:dyDescent="0.3">
      <c r="B2" s="20"/>
      <c r="C2" s="20"/>
      <c r="D2" s="20"/>
      <c r="E2" s="20"/>
      <c r="F2" s="20"/>
    </row>
    <row r="3" spans="2:6" x14ac:dyDescent="0.3">
      <c r="B3" s="16" t="s">
        <v>8</v>
      </c>
      <c r="C3" s="165" t="str">
        <f>'DADOS DO CONTRATO E CAPITALIZ'!C3</f>
        <v>XXXXXXXX</v>
      </c>
      <c r="D3" s="165"/>
      <c r="E3" s="165"/>
      <c r="F3" s="166"/>
    </row>
    <row r="4" spans="2:6" x14ac:dyDescent="0.3">
      <c r="B4" s="16" t="s">
        <v>32</v>
      </c>
      <c r="C4" s="114" t="str">
        <f>'DADOS DO CONTRATO E CAPITALIZ'!C4</f>
        <v>SANTANDER</v>
      </c>
      <c r="D4" s="115"/>
      <c r="E4" s="116" t="s">
        <v>35</v>
      </c>
      <c r="F4" s="99">
        <v>41634</v>
      </c>
    </row>
    <row r="5" spans="2:6" x14ac:dyDescent="0.3">
      <c r="B5" s="18" t="s">
        <v>7</v>
      </c>
      <c r="C5" s="112" t="str">
        <f>'DADOS DO CONTRATO E CAPITALIZ'!C5</f>
        <v>0000</v>
      </c>
      <c r="D5" s="113"/>
      <c r="E5" s="30" t="s">
        <v>36</v>
      </c>
      <c r="F5" s="100">
        <v>41698</v>
      </c>
    </row>
    <row r="6" spans="2:6" x14ac:dyDescent="0.3">
      <c r="B6" s="21"/>
      <c r="C6" s="23"/>
      <c r="D6" s="117"/>
      <c r="E6" s="118" t="s">
        <v>39</v>
      </c>
      <c r="F6" s="101">
        <f>EDATE(F5,C20)</f>
        <v>43462</v>
      </c>
    </row>
    <row r="7" spans="2:6" x14ac:dyDescent="0.3">
      <c r="B7" s="1"/>
      <c r="E7" s="1"/>
      <c r="F7" s="13"/>
    </row>
    <row r="8" spans="2:6" x14ac:dyDescent="0.3">
      <c r="B8" s="167" t="s">
        <v>60</v>
      </c>
      <c r="C8" s="167"/>
      <c r="E8" s="168" t="s">
        <v>61</v>
      </c>
      <c r="F8" s="168"/>
    </row>
    <row r="9" spans="2:6" x14ac:dyDescent="0.3">
      <c r="B9" s="16" t="s">
        <v>0</v>
      </c>
      <c r="C9" s="17">
        <f>'DADOS DO CONTRATO E CAPITALIZ'!C7</f>
        <v>4003.28</v>
      </c>
      <c r="E9" s="16" t="s">
        <v>0</v>
      </c>
      <c r="F9" s="17">
        <f>C9</f>
        <v>4003.28</v>
      </c>
    </row>
    <row r="10" spans="2:6" x14ac:dyDescent="0.3">
      <c r="B10" s="18" t="s">
        <v>1</v>
      </c>
      <c r="C10" s="83">
        <f>'DADOS DO CONTRATO E CAPITALIZ'!C8</f>
        <v>122.89</v>
      </c>
      <c r="E10" s="18" t="s">
        <v>1</v>
      </c>
      <c r="F10" s="83">
        <f>C10</f>
        <v>122.89</v>
      </c>
    </row>
    <row r="11" spans="2:6" x14ac:dyDescent="0.3">
      <c r="B11" s="18" t="s">
        <v>2</v>
      </c>
      <c r="C11" s="83">
        <f>'DADOS DO CONTRATO E CAPITALIZ'!C9</f>
        <v>20</v>
      </c>
      <c r="E11" s="18" t="s">
        <v>2</v>
      </c>
      <c r="F11" s="83">
        <f>'tabela price_INSS'!C9</f>
        <v>20</v>
      </c>
    </row>
    <row r="12" spans="2:6" x14ac:dyDescent="0.3">
      <c r="B12" s="18" t="s">
        <v>3</v>
      </c>
      <c r="C12" s="83">
        <f>'DADOS DO CONTRATO E CAPITALIZ'!C10</f>
        <v>0</v>
      </c>
      <c r="E12" s="18" t="s">
        <v>3</v>
      </c>
      <c r="F12" s="83">
        <f>'tabela price_INSS'!C10</f>
        <v>0</v>
      </c>
    </row>
    <row r="13" spans="2:6" x14ac:dyDescent="0.3">
      <c r="B13" s="18" t="s">
        <v>4</v>
      </c>
      <c r="C13" s="83">
        <f>'DADOS DO CONTRATO E CAPITALIZ'!C11</f>
        <v>0</v>
      </c>
      <c r="E13" s="18" t="s">
        <v>4</v>
      </c>
      <c r="F13" s="83">
        <f>'tabela price_INSS'!C11</f>
        <v>0</v>
      </c>
    </row>
    <row r="14" spans="2:6" x14ac:dyDescent="0.3">
      <c r="B14" s="18" t="s">
        <v>4</v>
      </c>
      <c r="C14" s="83">
        <f>'DADOS DO CONTRATO E CAPITALIZ'!C12</f>
        <v>0</v>
      </c>
      <c r="E14" s="18" t="s">
        <v>4</v>
      </c>
      <c r="F14" s="83">
        <f>'tabela price_INSS'!C12</f>
        <v>0</v>
      </c>
    </row>
    <row r="15" spans="2:6" x14ac:dyDescent="0.3">
      <c r="B15" s="21" t="s">
        <v>4</v>
      </c>
      <c r="C15" s="24">
        <f>'DADOS DO CONTRATO E CAPITALIZ'!C13</f>
        <v>0</v>
      </c>
      <c r="E15" s="21" t="s">
        <v>4</v>
      </c>
      <c r="F15" s="83">
        <f>'tabela price_INSS'!C13</f>
        <v>0</v>
      </c>
    </row>
    <row r="17" spans="2:8" x14ac:dyDescent="0.3">
      <c r="B17" s="3" t="s">
        <v>5</v>
      </c>
      <c r="C17" s="6">
        <f>SUM(C9:C15)</f>
        <v>4146.17</v>
      </c>
      <c r="E17" s="3" t="s">
        <v>5</v>
      </c>
      <c r="F17" s="6">
        <f>SUM(F9:F15)</f>
        <v>4146.17</v>
      </c>
    </row>
    <row r="18" spans="2:8" x14ac:dyDescent="0.3">
      <c r="H18"/>
    </row>
    <row r="19" spans="2:8" x14ac:dyDescent="0.3">
      <c r="B19" s="16" t="s">
        <v>9</v>
      </c>
      <c r="C19" s="17">
        <f>'DADOS DO CONTRATO E CAPITALIZ'!C17</f>
        <v>136.53</v>
      </c>
      <c r="E19" s="16" t="s">
        <v>9</v>
      </c>
      <c r="F19" s="119">
        <f>'tabela price_INSS'!D20</f>
        <v>124.89030700377111</v>
      </c>
      <c r="H19"/>
    </row>
    <row r="20" spans="2:8" x14ac:dyDescent="0.3">
      <c r="B20" s="18" t="s">
        <v>10</v>
      </c>
      <c r="C20" s="120">
        <f>'DADOS DO CONTRATO E CAPITALIZ'!C18</f>
        <v>58</v>
      </c>
      <c r="E20" s="18" t="s">
        <v>10</v>
      </c>
      <c r="F20" s="120">
        <f>C20</f>
        <v>58</v>
      </c>
      <c r="H20"/>
    </row>
    <row r="21" spans="2:8" x14ac:dyDescent="0.3">
      <c r="B21" s="121" t="s">
        <v>11</v>
      </c>
      <c r="C21" s="122">
        <f>'DADOS DO CONTRATO E CAPITALIZ'!C19</f>
        <v>7918.74</v>
      </c>
      <c r="E21" s="123" t="s">
        <v>11</v>
      </c>
      <c r="F21" s="131">
        <f>F20*F19</f>
        <v>7243.637806218725</v>
      </c>
      <c r="H21"/>
    </row>
    <row r="22" spans="2:8" x14ac:dyDescent="0.3">
      <c r="B22" s="1"/>
      <c r="C22" s="5"/>
      <c r="E22" s="1"/>
      <c r="F22" s="5"/>
      <c r="H22"/>
    </row>
    <row r="23" spans="2:8" x14ac:dyDescent="0.3">
      <c r="B23" s="16" t="s">
        <v>13</v>
      </c>
      <c r="C23" s="28">
        <f>'DADOS DO CONTRATO E CAPITALIZ'!C21</f>
        <v>2.3400000000000001E-2</v>
      </c>
      <c r="E23" s="16" t="s">
        <v>62</v>
      </c>
      <c r="F23" s="28">
        <f>'tabela price_INSS'!G11</f>
        <v>2.12E-2</v>
      </c>
      <c r="H23"/>
    </row>
    <row r="24" spans="2:8" x14ac:dyDescent="0.3">
      <c r="B24" s="21" t="s">
        <v>14</v>
      </c>
      <c r="C24" s="28">
        <f>'DADOS DO CONTRATO E CAPITALIZ'!C22</f>
        <v>0.32019999999999998</v>
      </c>
      <c r="E24" s="21" t="s">
        <v>63</v>
      </c>
      <c r="F24" s="29">
        <f>'tabela price_INSS'!G12</f>
        <v>0.28560000000000002</v>
      </c>
      <c r="H24"/>
    </row>
    <row r="25" spans="2:8" x14ac:dyDescent="0.3">
      <c r="B25" s="1"/>
      <c r="C25" s="29"/>
      <c r="E25" s="1"/>
      <c r="F25"/>
      <c r="H25"/>
    </row>
    <row r="26" spans="2:8" ht="14.4" customHeight="1" x14ac:dyDescent="0.3">
      <c r="B26" s="16" t="s">
        <v>15</v>
      </c>
      <c r="C26" s="29">
        <f>'DADOS DO CONTRATO E CAPITALIZ'!C24</f>
        <v>2.4899999999999999E-2</v>
      </c>
      <c r="E26" s="169" t="s">
        <v>64</v>
      </c>
      <c r="F26" s="170">
        <f>diferenças!H12</f>
        <v>0.10377358490566047</v>
      </c>
      <c r="H26"/>
    </row>
    <row r="27" spans="2:8" x14ac:dyDescent="0.3">
      <c r="B27" s="21" t="s">
        <v>16</v>
      </c>
      <c r="C27" s="29">
        <f>'DADOS DO CONTRATO E CAPITALIZ'!C25</f>
        <v>0.34310000000000002</v>
      </c>
      <c r="E27" s="169"/>
      <c r="F27" s="170"/>
      <c r="H27"/>
    </row>
    <row r="28" spans="2:8" x14ac:dyDescent="0.3">
      <c r="B28" s="30"/>
      <c r="C28" s="31"/>
      <c r="E28" s="169"/>
      <c r="F28" s="170"/>
      <c r="H28"/>
    </row>
    <row r="29" spans="2:8" x14ac:dyDescent="0.3">
      <c r="B29" s="32" t="s">
        <v>6</v>
      </c>
      <c r="C29" s="33" t="str">
        <f>'DADOS DO CONTRATO E CAPITALIZ'!C27</f>
        <v>mensal</v>
      </c>
      <c r="H29"/>
    </row>
    <row r="31" spans="2:8" x14ac:dyDescent="0.3">
      <c r="B31" s="34" t="s">
        <v>12</v>
      </c>
      <c r="C31" s="35">
        <f>C21-C9</f>
        <v>3915.4599999999996</v>
      </c>
      <c r="E31" s="127" t="s">
        <v>12</v>
      </c>
      <c r="F31" s="128">
        <f>F21-F17</f>
        <v>3097.4678062187249</v>
      </c>
    </row>
    <row r="32" spans="2:8" x14ac:dyDescent="0.3">
      <c r="E32" s="129" t="s">
        <v>65</v>
      </c>
      <c r="F32" s="130">
        <f>C21-F21</f>
        <v>675.10219378127476</v>
      </c>
    </row>
    <row r="33" spans="7:8" x14ac:dyDescent="0.3">
      <c r="H33"/>
    </row>
    <row r="34" spans="7:8" x14ac:dyDescent="0.3">
      <c r="G34" s="1"/>
    </row>
    <row r="35" spans="7:8" x14ac:dyDescent="0.3">
      <c r="G35" s="9"/>
    </row>
  </sheetData>
  <mergeCells count="6">
    <mergeCell ref="B1:F1"/>
    <mergeCell ref="C3:F3"/>
    <mergeCell ref="B8:C8"/>
    <mergeCell ref="E8:F8"/>
    <mergeCell ref="E26:E28"/>
    <mergeCell ref="F26:F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DO CONTRATO E CAPITALIZ</vt:lpstr>
      <vt:lpstr>tabela price_FINANCEIRA</vt:lpstr>
      <vt:lpstr>tabela price_INSS</vt:lpstr>
      <vt:lpstr>diferenças</vt:lpstr>
      <vt:lpstr>RESUMO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Lupo Medeiros</dc:creator>
  <cp:lastModifiedBy>Homero Medeiros</cp:lastModifiedBy>
  <cp:lastPrinted>2022-04-04T00:32:03Z</cp:lastPrinted>
  <dcterms:created xsi:type="dcterms:W3CDTF">2020-12-09T17:13:03Z</dcterms:created>
  <dcterms:modified xsi:type="dcterms:W3CDTF">2022-04-13T01:56:29Z</dcterms:modified>
</cp:coreProperties>
</file>