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d74584feed74e9bf/CÍVEL NA PRÁTICA/CURSO DE DIREITO BANCÁRIO/1-FATURANDO COM A ADV BANCÁRIA_1 TURMA/material do curso finalizado/"/>
    </mc:Choice>
  </mc:AlternateContent>
  <xr:revisionPtr revIDLastSave="54" documentId="8_{4BAC83FF-BA11-48EE-A39C-773928A6F4E2}" xr6:coauthVersionLast="47" xr6:coauthVersionMax="47" xr10:uidLastSave="{FD3B5B3E-C540-42EE-8CCC-536A5E30C176}"/>
  <bookViews>
    <workbookView xWindow="-108" yWindow="-108" windowWidth="23256" windowHeight="12576" firstSheet="2" activeTab="4" xr2:uid="{00000000-000D-0000-FFFF-FFFF00000000}"/>
  </bookViews>
  <sheets>
    <sheet name="DADOS DO CONTRATO E CAPITALIZ" sheetId="1" r:id="rId1"/>
    <sheet name="tabela price_FINANCEIRA" sheetId="4" r:id="rId2"/>
    <sheet name="tabela price_BACEN" sheetId="5" r:id="rId3"/>
    <sheet name="diferenças" sheetId="6" r:id="rId4"/>
    <sheet name="RESUMO FINAL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5" l="1"/>
  <c r="F5" i="7"/>
  <c r="F6" i="7"/>
  <c r="F4" i="7"/>
  <c r="E11" i="7"/>
  <c r="E12" i="7"/>
  <c r="E13" i="7"/>
  <c r="E14" i="7"/>
  <c r="E15" i="7"/>
  <c r="E10" i="7"/>
  <c r="B11" i="7"/>
  <c r="B12" i="7"/>
  <c r="B13" i="7"/>
  <c r="B14" i="7"/>
  <c r="B15" i="7"/>
  <c r="B10" i="7"/>
  <c r="B9" i="6"/>
  <c r="B10" i="6"/>
  <c r="B11" i="6"/>
  <c r="B12" i="6"/>
  <c r="B13" i="6"/>
  <c r="B8" i="6"/>
  <c r="B9" i="4"/>
  <c r="B10" i="4"/>
  <c r="B11" i="4"/>
  <c r="B12" i="4"/>
  <c r="B13" i="4"/>
  <c r="B8" i="4"/>
  <c r="B9" i="5"/>
  <c r="B10" i="5"/>
  <c r="B11" i="5"/>
  <c r="B12" i="5"/>
  <c r="B13" i="5"/>
  <c r="B8" i="5"/>
  <c r="C50" i="5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25" i="1"/>
  <c r="F23" i="7"/>
  <c r="F15" i="7"/>
  <c r="C23" i="7"/>
  <c r="G12" i="5"/>
  <c r="F24" i="7" s="1"/>
  <c r="C22" i="1"/>
  <c r="C24" i="7" s="1"/>
  <c r="F6" i="1"/>
  <c r="G11" i="6"/>
  <c r="C3" i="7"/>
  <c r="C4" i="7"/>
  <c r="C5" i="7"/>
  <c r="G7" i="5"/>
  <c r="C19" i="1"/>
  <c r="G9" i="5" s="1"/>
  <c r="G9" i="4" l="1"/>
  <c r="H34" i="1"/>
  <c r="G11" i="4" l="1"/>
  <c r="G13" i="5" s="1"/>
  <c r="G13" i="6" s="1"/>
  <c r="H36" i="1"/>
  <c r="H39" i="1" s="1"/>
  <c r="C29" i="7"/>
  <c r="C26" i="7"/>
  <c r="C20" i="7"/>
  <c r="F20" i="7" s="1"/>
  <c r="C19" i="7"/>
  <c r="C10" i="7"/>
  <c r="F10" i="7" s="1"/>
  <c r="C11" i="7"/>
  <c r="C12" i="7"/>
  <c r="C13" i="7"/>
  <c r="C14" i="7"/>
  <c r="C15" i="7"/>
  <c r="C9" i="7"/>
  <c r="F9" i="7" s="1"/>
  <c r="C17" i="7" l="1"/>
  <c r="C19" i="6"/>
  <c r="C15" i="6"/>
  <c r="H12" i="6"/>
  <c r="F26" i="7" s="1"/>
  <c r="C13" i="6"/>
  <c r="C12" i="6"/>
  <c r="C11" i="6"/>
  <c r="C10" i="6"/>
  <c r="C9" i="6"/>
  <c r="G8" i="6"/>
  <c r="C8" i="6"/>
  <c r="G7" i="6"/>
  <c r="C7" i="6"/>
  <c r="H5" i="6"/>
  <c r="C5" i="6"/>
  <c r="C4" i="6"/>
  <c r="C3" i="6"/>
  <c r="C19" i="5"/>
  <c r="C15" i="5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13" i="5"/>
  <c r="F14" i="7"/>
  <c r="F12" i="7"/>
  <c r="C9" i="5"/>
  <c r="F11" i="7" s="1"/>
  <c r="G8" i="5"/>
  <c r="C8" i="5"/>
  <c r="C7" i="5"/>
  <c r="G5" i="5"/>
  <c r="C5" i="5"/>
  <c r="C4" i="5"/>
  <c r="C3" i="5"/>
  <c r="G12" i="4"/>
  <c r="G14" i="5" s="1"/>
  <c r="G14" i="6" s="1"/>
  <c r="C19" i="4"/>
  <c r="G5" i="4"/>
  <c r="C5" i="4"/>
  <c r="G13" i="4"/>
  <c r="G8" i="4"/>
  <c r="G7" i="4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29" i="6" s="1"/>
  <c r="C13" i="4"/>
  <c r="C12" i="4"/>
  <c r="C11" i="4"/>
  <c r="C10" i="4"/>
  <c r="C9" i="4"/>
  <c r="C8" i="4"/>
  <c r="C7" i="4"/>
  <c r="C4" i="4"/>
  <c r="C3" i="4"/>
  <c r="C15" i="4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H40" i="1"/>
  <c r="C15" i="1"/>
  <c r="B34" i="1" s="1"/>
  <c r="F17" i="7" l="1"/>
  <c r="C20" i="6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27" i="7"/>
  <c r="C21" i="7"/>
  <c r="C31" i="7" s="1"/>
  <c r="C29" i="1"/>
  <c r="G19" i="4"/>
  <c r="G14" i="4"/>
  <c r="D30" i="4"/>
  <c r="G9" i="6"/>
  <c r="E20" i="5"/>
  <c r="D20" i="6"/>
  <c r="C14" i="5"/>
  <c r="D24" i="6"/>
  <c r="D23" i="6"/>
  <c r="D28" i="6"/>
  <c r="D22" i="6"/>
  <c r="D27" i="6"/>
  <c r="D21" i="6"/>
  <c r="D26" i="6"/>
  <c r="D25" i="6"/>
  <c r="C14" i="6"/>
  <c r="C14" i="4"/>
  <c r="D31" i="4" l="1"/>
  <c r="D30" i="6"/>
  <c r="D20" i="5"/>
  <c r="E20" i="4"/>
  <c r="F20" i="4" s="1"/>
  <c r="G20" i="4" s="1"/>
  <c r="E21" i="4" s="1"/>
  <c r="E20" i="6" l="1"/>
  <c r="F20" i="6" s="1"/>
  <c r="F19" i="7"/>
  <c r="F21" i="7" s="1"/>
  <c r="D32" i="4"/>
  <c r="D31" i="6"/>
  <c r="D21" i="5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F20" i="5"/>
  <c r="G20" i="5" s="1"/>
  <c r="E21" i="5" s="1"/>
  <c r="F21" i="4"/>
  <c r="G21" i="4" s="1"/>
  <c r="D51" i="5" l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F32" i="7"/>
  <c r="F31" i="7"/>
  <c r="E21" i="6"/>
  <c r="F21" i="6" s="1"/>
  <c r="D33" i="4"/>
  <c r="D32" i="6"/>
  <c r="F21" i="5"/>
  <c r="G21" i="5" s="1"/>
  <c r="E22" i="5" s="1"/>
  <c r="F22" i="5" s="1"/>
  <c r="G22" i="5" s="1"/>
  <c r="E23" i="5" s="1"/>
  <c r="F23" i="5" s="1"/>
  <c r="G23" i="5" s="1"/>
  <c r="E22" i="4"/>
  <c r="F22" i="4" s="1"/>
  <c r="G22" i="4" s="1"/>
  <c r="E23" i="4" s="1"/>
  <c r="F23" i="4" s="1"/>
  <c r="G23" i="4" s="1"/>
  <c r="E24" i="4" s="1"/>
  <c r="E22" i="6" l="1"/>
  <c r="F22" i="6" s="1"/>
  <c r="D34" i="4"/>
  <c r="D33" i="6"/>
  <c r="E24" i="5"/>
  <c r="F24" i="5" s="1"/>
  <c r="G24" i="5" s="1"/>
  <c r="F24" i="4"/>
  <c r="G24" i="4" s="1"/>
  <c r="E25" i="4" s="1"/>
  <c r="E23" i="6" l="1"/>
  <c r="E24" i="6" s="1"/>
  <c r="D35" i="4"/>
  <c r="D34" i="6"/>
  <c r="E25" i="5"/>
  <c r="F25" i="5" s="1"/>
  <c r="G25" i="5" s="1"/>
  <c r="F25" i="4"/>
  <c r="G25" i="4" s="1"/>
  <c r="E26" i="4" s="1"/>
  <c r="F23" i="6" l="1"/>
  <c r="D36" i="4"/>
  <c r="D35" i="6"/>
  <c r="F24" i="6"/>
  <c r="E25" i="6"/>
  <c r="E26" i="5"/>
  <c r="F26" i="5" s="1"/>
  <c r="G26" i="5" s="1"/>
  <c r="F26" i="4"/>
  <c r="G26" i="4" s="1"/>
  <c r="E27" i="4" s="1"/>
  <c r="D37" i="4" l="1"/>
  <c r="D36" i="6"/>
  <c r="E26" i="6"/>
  <c r="F25" i="6"/>
  <c r="E27" i="5"/>
  <c r="F27" i="5" s="1"/>
  <c r="G27" i="5" s="1"/>
  <c r="F27" i="4"/>
  <c r="G27" i="4" s="1"/>
  <c r="E28" i="4" s="1"/>
  <c r="D38" i="4" l="1"/>
  <c r="D37" i="6"/>
  <c r="E27" i="6"/>
  <c r="F26" i="6"/>
  <c r="E28" i="5"/>
  <c r="F28" i="5" s="1"/>
  <c r="G28" i="5" s="1"/>
  <c r="F28" i="4"/>
  <c r="G28" i="4" s="1"/>
  <c r="E29" i="4" s="1"/>
  <c r="D39" i="4" l="1"/>
  <c r="D38" i="6"/>
  <c r="F27" i="6"/>
  <c r="E28" i="6"/>
  <c r="E29" i="5"/>
  <c r="F29" i="5" s="1"/>
  <c r="G29" i="5" s="1"/>
  <c r="F29" i="4"/>
  <c r="G29" i="4" s="1"/>
  <c r="E30" i="4" s="1"/>
  <c r="D40" i="4" l="1"/>
  <c r="D39" i="6"/>
  <c r="F28" i="6"/>
  <c r="E29" i="6"/>
  <c r="F30" i="4"/>
  <c r="G30" i="4" s="1"/>
  <c r="E31" i="4" s="1"/>
  <c r="E30" i="5"/>
  <c r="F30" i="5" s="1"/>
  <c r="G30" i="5" s="1"/>
  <c r="D41" i="4" l="1"/>
  <c r="D40" i="6"/>
  <c r="F29" i="6"/>
  <c r="E30" i="6"/>
  <c r="F31" i="4"/>
  <c r="G31" i="4" s="1"/>
  <c r="E32" i="4" s="1"/>
  <c r="E31" i="5"/>
  <c r="F31" i="5" s="1"/>
  <c r="G31" i="5" s="1"/>
  <c r="D42" i="4" l="1"/>
  <c r="D41" i="6"/>
  <c r="E31" i="6"/>
  <c r="F30" i="6"/>
  <c r="E32" i="5"/>
  <c r="F32" i="5" s="1"/>
  <c r="G32" i="5" s="1"/>
  <c r="F32" i="4"/>
  <c r="G32" i="4" s="1"/>
  <c r="E33" i="4" s="1"/>
  <c r="D43" i="4" l="1"/>
  <c r="D42" i="6"/>
  <c r="E32" i="6"/>
  <c r="F31" i="6"/>
  <c r="E33" i="5"/>
  <c r="F33" i="5" s="1"/>
  <c r="F33" i="4"/>
  <c r="G33" i="4" s="1"/>
  <c r="E34" i="4" s="1"/>
  <c r="D44" i="4" l="1"/>
  <c r="D43" i="6"/>
  <c r="E33" i="6"/>
  <c r="F32" i="6"/>
  <c r="G33" i="5"/>
  <c r="F34" i="4"/>
  <c r="G34" i="4" s="1"/>
  <c r="E35" i="4" s="1"/>
  <c r="D45" i="4" l="1"/>
  <c r="D44" i="6"/>
  <c r="F33" i="6"/>
  <c r="E34" i="6"/>
  <c r="E34" i="5"/>
  <c r="F34" i="5" s="1"/>
  <c r="F35" i="4"/>
  <c r="G35" i="4" s="1"/>
  <c r="E36" i="4" s="1"/>
  <c r="D46" i="4" l="1"/>
  <c r="D45" i="6"/>
  <c r="E35" i="6"/>
  <c r="F34" i="6"/>
  <c r="G34" i="5"/>
  <c r="F36" i="4"/>
  <c r="G36" i="4" s="1"/>
  <c r="E37" i="4" s="1"/>
  <c r="D47" i="4" l="1"/>
  <c r="D46" i="6"/>
  <c r="E36" i="6"/>
  <c r="F35" i="6"/>
  <c r="E35" i="5"/>
  <c r="F35" i="5" s="1"/>
  <c r="F37" i="4"/>
  <c r="G37" i="4" s="1"/>
  <c r="E38" i="4" s="1"/>
  <c r="D48" i="4" l="1"/>
  <c r="D47" i="6"/>
  <c r="E37" i="6"/>
  <c r="F36" i="6"/>
  <c r="G35" i="5"/>
  <c r="F38" i="4"/>
  <c r="G38" i="4" s="1"/>
  <c r="E39" i="4" s="1"/>
  <c r="D49" i="4" l="1"/>
  <c r="D48" i="6"/>
  <c r="E38" i="6"/>
  <c r="F37" i="6"/>
  <c r="E36" i="5"/>
  <c r="F36" i="5" s="1"/>
  <c r="F39" i="4"/>
  <c r="G39" i="4" s="1"/>
  <c r="D50" i="4" l="1"/>
  <c r="D49" i="6"/>
  <c r="F38" i="6"/>
  <c r="E39" i="6"/>
  <c r="G36" i="5"/>
  <c r="E40" i="4"/>
  <c r="F40" i="4" s="1"/>
  <c r="G40" i="4" s="1"/>
  <c r="E41" i="4" s="1"/>
  <c r="F41" i="4" s="1"/>
  <c r="G41" i="4" s="1"/>
  <c r="E42" i="4" s="1"/>
  <c r="D51" i="4" l="1"/>
  <c r="D50" i="6"/>
  <c r="F39" i="6"/>
  <c r="E40" i="6"/>
  <c r="E37" i="5"/>
  <c r="F37" i="5" s="1"/>
  <c r="F42" i="4"/>
  <c r="G42" i="4" s="1"/>
  <c r="E43" i="4" s="1"/>
  <c r="D52" i="4" l="1"/>
  <c r="D51" i="6"/>
  <c r="F40" i="6"/>
  <c r="E41" i="6"/>
  <c r="G37" i="5"/>
  <c r="F43" i="4"/>
  <c r="G43" i="4" s="1"/>
  <c r="E44" i="4" s="1"/>
  <c r="D53" i="4" l="1"/>
  <c r="D52" i="6"/>
  <c r="F41" i="6"/>
  <c r="E42" i="6"/>
  <c r="E38" i="5"/>
  <c r="F38" i="5" s="1"/>
  <c r="G38" i="5" s="1"/>
  <c r="F44" i="4"/>
  <c r="G44" i="4" s="1"/>
  <c r="D54" i="4" l="1"/>
  <c r="D53" i="6"/>
  <c r="E43" i="6"/>
  <c r="F42" i="6"/>
  <c r="E39" i="5"/>
  <c r="F39" i="5" s="1"/>
  <c r="E45" i="4"/>
  <c r="F45" i="4" s="1"/>
  <c r="G45" i="4" s="1"/>
  <c r="D55" i="4" l="1"/>
  <c r="D54" i="6"/>
  <c r="E44" i="6"/>
  <c r="F43" i="6"/>
  <c r="G39" i="5"/>
  <c r="E46" i="4"/>
  <c r="F46" i="4" s="1"/>
  <c r="G46" i="4" s="1"/>
  <c r="D56" i="4" l="1"/>
  <c r="D55" i="6"/>
  <c r="E45" i="6"/>
  <c r="F44" i="6"/>
  <c r="E40" i="5"/>
  <c r="F40" i="5" s="1"/>
  <c r="E47" i="4"/>
  <c r="F47" i="4" s="1"/>
  <c r="G47" i="4" s="1"/>
  <c r="D57" i="4" l="1"/>
  <c r="D56" i="6"/>
  <c r="E46" i="6"/>
  <c r="F45" i="6"/>
  <c r="G40" i="5"/>
  <c r="E48" i="4"/>
  <c r="F48" i="4" s="1"/>
  <c r="G48" i="4" s="1"/>
  <c r="E49" i="4" s="1"/>
  <c r="F49" i="4" s="1"/>
  <c r="G49" i="4" s="1"/>
  <c r="D58" i="4" l="1"/>
  <c r="D57" i="6"/>
  <c r="E47" i="6"/>
  <c r="F46" i="6"/>
  <c r="E41" i="5"/>
  <c r="F41" i="5" s="1"/>
  <c r="E50" i="4"/>
  <c r="F50" i="4" s="1"/>
  <c r="G50" i="4" s="1"/>
  <c r="E51" i="4" s="1"/>
  <c r="F51" i="4" s="1"/>
  <c r="G51" i="4" s="1"/>
  <c r="E52" i="4" s="1"/>
  <c r="F52" i="4" s="1"/>
  <c r="G52" i="4" s="1"/>
  <c r="E53" i="4" s="1"/>
  <c r="F53" i="4" s="1"/>
  <c r="G53" i="4" s="1"/>
  <c r="E54" i="4" s="1"/>
  <c r="F54" i="4" s="1"/>
  <c r="G54" i="4" s="1"/>
  <c r="E55" i="4" s="1"/>
  <c r="D59" i="4" l="1"/>
  <c r="D58" i="6"/>
  <c r="F47" i="6"/>
  <c r="E48" i="6"/>
  <c r="G41" i="5"/>
  <c r="F55" i="4"/>
  <c r="G55" i="4" s="1"/>
  <c r="D60" i="4" l="1"/>
  <c r="D59" i="6"/>
  <c r="E49" i="6"/>
  <c r="F48" i="6"/>
  <c r="E42" i="5"/>
  <c r="F42" i="5" s="1"/>
  <c r="E56" i="4"/>
  <c r="F56" i="4" s="1"/>
  <c r="G56" i="4" s="1"/>
  <c r="D61" i="4" l="1"/>
  <c r="D60" i="6"/>
  <c r="F49" i="6"/>
  <c r="E50" i="6"/>
  <c r="G42" i="5"/>
  <c r="E57" i="4"/>
  <c r="F57" i="4" s="1"/>
  <c r="G57" i="4" s="1"/>
  <c r="D62" i="4" l="1"/>
  <c r="D61" i="6"/>
  <c r="F50" i="6"/>
  <c r="E51" i="6"/>
  <c r="E43" i="5"/>
  <c r="F43" i="5" s="1"/>
  <c r="E58" i="4"/>
  <c r="F58" i="4" s="1"/>
  <c r="G58" i="4" s="1"/>
  <c r="D63" i="4" l="1"/>
  <c r="D62" i="6"/>
  <c r="F51" i="6"/>
  <c r="E52" i="6"/>
  <c r="G43" i="5"/>
  <c r="E59" i="4"/>
  <c r="F59" i="4" s="1"/>
  <c r="G59" i="4" s="1"/>
  <c r="D64" i="4" l="1"/>
  <c r="D63" i="6"/>
  <c r="F52" i="6"/>
  <c r="E53" i="6"/>
  <c r="E44" i="5"/>
  <c r="F44" i="5" s="1"/>
  <c r="E60" i="4"/>
  <c r="F60" i="4" s="1"/>
  <c r="G60" i="4" s="1"/>
  <c r="D65" i="4" l="1"/>
  <c r="D64" i="6"/>
  <c r="E54" i="6"/>
  <c r="F53" i="6"/>
  <c r="G44" i="5"/>
  <c r="E61" i="4"/>
  <c r="F61" i="4" s="1"/>
  <c r="G61" i="4" s="1"/>
  <c r="D66" i="4" l="1"/>
  <c r="D65" i="6"/>
  <c r="E55" i="6"/>
  <c r="F54" i="6"/>
  <c r="E45" i="5"/>
  <c r="F45" i="5" s="1"/>
  <c r="E62" i="4"/>
  <c r="F62" i="4" s="1"/>
  <c r="G62" i="4" s="1"/>
  <c r="D67" i="4" l="1"/>
  <c r="D67" i="6" s="1"/>
  <c r="D66" i="6"/>
  <c r="F55" i="6"/>
  <c r="E56" i="6"/>
  <c r="G45" i="5"/>
  <c r="E63" i="4"/>
  <c r="F63" i="4" s="1"/>
  <c r="G63" i="4" s="1"/>
  <c r="E57" i="6" l="1"/>
  <c r="F56" i="6"/>
  <c r="E46" i="5"/>
  <c r="F46" i="5" s="1"/>
  <c r="E64" i="4"/>
  <c r="F64" i="4" s="1"/>
  <c r="G64" i="4" s="1"/>
  <c r="E58" i="6" l="1"/>
  <c r="F57" i="6"/>
  <c r="G46" i="5"/>
  <c r="E65" i="4"/>
  <c r="F65" i="4" s="1"/>
  <c r="G65" i="4" s="1"/>
  <c r="E66" i="4" s="1"/>
  <c r="F66" i="4" s="1"/>
  <c r="G66" i="4" s="1"/>
  <c r="E67" i="4" s="1"/>
  <c r="F67" i="4" s="1"/>
  <c r="G67" i="4" s="1"/>
  <c r="E59" i="6" l="1"/>
  <c r="F58" i="6"/>
  <c r="E47" i="5"/>
  <c r="F47" i="5" s="1"/>
  <c r="E60" i="6" l="1"/>
  <c r="F59" i="6"/>
  <c r="G47" i="5"/>
  <c r="E61" i="6" l="1"/>
  <c r="F60" i="6"/>
  <c r="E48" i="5"/>
  <c r="F48" i="5" s="1"/>
  <c r="E62" i="6" l="1"/>
  <c r="F61" i="6"/>
  <c r="G48" i="5"/>
  <c r="F62" i="6" l="1"/>
  <c r="E63" i="6"/>
  <c r="E49" i="5"/>
  <c r="F49" i="5" s="1"/>
  <c r="F63" i="6" l="1"/>
  <c r="E64" i="6"/>
  <c r="G49" i="5"/>
  <c r="E50" i="5" l="1"/>
  <c r="F50" i="5" s="1"/>
  <c r="G50" i="5" s="1"/>
  <c r="E51" i="5" s="1"/>
  <c r="F51" i="5" s="1"/>
  <c r="G51" i="5" s="1"/>
  <c r="F64" i="6"/>
  <c r="E65" i="6"/>
  <c r="E52" i="5" l="1"/>
  <c r="F52" i="5" s="1"/>
  <c r="G52" i="5" s="1"/>
  <c r="E66" i="6"/>
  <c r="F65" i="6"/>
  <c r="E53" i="5" l="1"/>
  <c r="F53" i="5" s="1"/>
  <c r="G53" i="5" s="1"/>
  <c r="E54" i="5" s="1"/>
  <c r="F54" i="5" s="1"/>
  <c r="G54" i="5" s="1"/>
  <c r="E55" i="5" s="1"/>
  <c r="F55" i="5" s="1"/>
  <c r="G55" i="5" s="1"/>
  <c r="E56" i="5" s="1"/>
  <c r="F56" i="5" s="1"/>
  <c r="G56" i="5" s="1"/>
  <c r="E57" i="5" s="1"/>
  <c r="F57" i="5" s="1"/>
  <c r="G57" i="5" s="1"/>
  <c r="E58" i="5" s="1"/>
  <c r="F58" i="5" s="1"/>
  <c r="G58" i="5" s="1"/>
  <c r="E59" i="5" s="1"/>
  <c r="F59" i="5" s="1"/>
  <c r="G59" i="5" s="1"/>
  <c r="E60" i="5" s="1"/>
  <c r="F60" i="5" s="1"/>
  <c r="G60" i="5" s="1"/>
  <c r="E61" i="5" s="1"/>
  <c r="F61" i="5" s="1"/>
  <c r="G61" i="5" s="1"/>
  <c r="E67" i="6"/>
  <c r="F67" i="6" s="1"/>
  <c r="F66" i="6"/>
  <c r="E62" i="5" l="1"/>
  <c r="F62" i="5" s="1"/>
  <c r="G62" i="5" s="1"/>
  <c r="F68" i="6"/>
  <c r="F70" i="6" s="1"/>
  <c r="E63" i="5" l="1"/>
  <c r="F63" i="5" s="1"/>
  <c r="G63" i="5" s="1"/>
  <c r="E64" i="5" l="1"/>
  <c r="F64" i="5" s="1"/>
  <c r="G64" i="5"/>
  <c r="E65" i="5" l="1"/>
  <c r="F65" i="5" s="1"/>
  <c r="G65" i="5" s="1"/>
  <c r="E66" i="5" l="1"/>
  <c r="F66" i="5" s="1"/>
  <c r="G66" i="5" s="1"/>
  <c r="E67" i="5" s="1"/>
  <c r="F67" i="5" s="1"/>
  <c r="G6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C19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sharedStrings.xml><?xml version="1.0" encoding="utf-8"?>
<sst xmlns="http://schemas.openxmlformats.org/spreadsheetml/2006/main" count="136" uniqueCount="68">
  <si>
    <t>INFORMAÇÕES CONTRATUAIS</t>
  </si>
  <si>
    <t>CONSUMIDOR(A):</t>
  </si>
  <si>
    <t>XXXXXXXX</t>
  </si>
  <si>
    <t>Banco:</t>
  </si>
  <si>
    <t>SANTANDER</t>
  </si>
  <si>
    <t>Data do Contrato:</t>
  </si>
  <si>
    <t>CONTRATO Nº:</t>
  </si>
  <si>
    <t>0000</t>
  </si>
  <si>
    <t>Venc. 1ª Parcela:</t>
  </si>
  <si>
    <t>Última Parcela:</t>
  </si>
  <si>
    <t>Valor liberado:</t>
  </si>
  <si>
    <t>IOF financiado</t>
  </si>
  <si>
    <t>IOF adicional</t>
  </si>
  <si>
    <t>tarifa de avaliação</t>
  </si>
  <si>
    <t>seguro</t>
  </si>
  <si>
    <t>registro no órgão de trânsito</t>
  </si>
  <si>
    <t>Outros:</t>
  </si>
  <si>
    <t>Valor total financiado:</t>
  </si>
  <si>
    <t>Valor da parcela (mensal):</t>
  </si>
  <si>
    <t>Quantidade de parcelas:</t>
  </si>
  <si>
    <t>Valor final a ser pago (sem mora)</t>
  </si>
  <si>
    <t>taxa de juros nominal (mensal):</t>
  </si>
  <si>
    <t>taxa de juros nominal (anual):</t>
  </si>
  <si>
    <t>custo efetivo total (mensal):</t>
  </si>
  <si>
    <t>custo efetivo total (anual):</t>
  </si>
  <si>
    <t>capitalização prevista no contrato:</t>
  </si>
  <si>
    <t>mensal</t>
  </si>
  <si>
    <t>Lucro Bancário</t>
  </si>
  <si>
    <t>CONFERÊNCIA DA TAXA DE JUROS DO CONTRATO</t>
  </si>
  <si>
    <t>CÁLCULO DE TAXAS EQUIVALENTES</t>
  </si>
  <si>
    <t>a.m.</t>
  </si>
  <si>
    <t>tx. Equivalente anual:</t>
  </si>
  <si>
    <t>tx. proporcional ao dia (tx nominal ao mês / 30 dias):</t>
  </si>
  <si>
    <t>Se a capitalização fosse diária, o quadro de taxas seria o seguinte:</t>
  </si>
  <si>
    <t>tx. efetiva mensal equivalente:</t>
  </si>
  <si>
    <t>tx. efetiva anual equivalente:</t>
  </si>
  <si>
    <t>Análise do  resultado:</t>
  </si>
  <si>
    <r>
      <t xml:space="preserve">Se a </t>
    </r>
    <r>
      <rPr>
        <b/>
        <sz val="11"/>
        <color theme="1"/>
        <rFont val="Calibri"/>
        <family val="2"/>
        <scheme val="minor"/>
      </rPr>
      <t>taxa efetiva mensal equivalente</t>
    </r>
    <r>
      <rPr>
        <sz val="11"/>
        <color theme="1"/>
        <rFont val="Calibri"/>
        <family val="2"/>
        <scheme val="minor"/>
      </rPr>
      <t xml:space="preserve"> encontrada for maior do que a </t>
    </r>
    <r>
      <rPr>
        <b/>
        <sz val="11"/>
        <color theme="1"/>
        <rFont val="Calibri"/>
        <family val="2"/>
        <scheme val="minor"/>
      </rPr>
      <t>nominal</t>
    </r>
    <r>
      <rPr>
        <sz val="11"/>
        <color theme="1"/>
        <rFont val="Calibri"/>
        <family val="2"/>
        <scheme val="minor"/>
      </rPr>
      <t xml:space="preserve"> prevista no contrato, não há capitalização diária no contrato.</t>
    </r>
  </si>
  <si>
    <t>CÁLCULO DO EMPRÉSTIMO PELA TABELA PRICE UTILIZADA PELA INSTITUIÇÃO FINANCEIRA</t>
  </si>
  <si>
    <t>Consumidor(a)</t>
  </si>
  <si>
    <t>Instituição Financeira:</t>
  </si>
  <si>
    <t>Contrato:</t>
  </si>
  <si>
    <t>data do contrato:</t>
  </si>
  <si>
    <t>Valor final a ser pago (sem mora):</t>
  </si>
  <si>
    <t>MEMÓRIA DE CÁLCULO</t>
  </si>
  <si>
    <t>nº parcelas</t>
  </si>
  <si>
    <t>vencimento</t>
  </si>
  <si>
    <t>valor da prestação</t>
  </si>
  <si>
    <t>juros</t>
  </si>
  <si>
    <t>amortização</t>
  </si>
  <si>
    <t>saldo devedor</t>
  </si>
  <si>
    <t>CÁLCULO DO EMPRÉSTIMO PELA TAXA MÉDIA DO BACEN</t>
  </si>
  <si>
    <t>tx. de juros BACEN (mensal):</t>
  </si>
  <si>
    <t>tx. de juros BACEN (anual):</t>
  </si>
  <si>
    <t>CÁLCULO DO VALOR PAGO A MAIOR</t>
  </si>
  <si>
    <t>DIFERENÇA ENTRE AS TAXAS</t>
  </si>
  <si>
    <t>valor pago</t>
  </si>
  <si>
    <t>valor devido</t>
  </si>
  <si>
    <t>diferença</t>
  </si>
  <si>
    <t>valor atualizado pago em excesso</t>
  </si>
  <si>
    <t>valor em dobro a ser recebido</t>
  </si>
  <si>
    <t>RESUMO PARA A REVISÃO DO CONTRATO</t>
  </si>
  <si>
    <t xml:space="preserve">VALOR CONFORME O CONTRATO </t>
  </si>
  <si>
    <t>VALOR APÓS A REVISÃO</t>
  </si>
  <si>
    <t>taxa média do Bacen (mensal):</t>
  </si>
  <si>
    <t>taxa média do Bacen (anual):</t>
  </si>
  <si>
    <t>PERCENTUAL DE EXCESSO DA TAXA CONTRATUAL EM RELAÇÃO À MÉDIA DE MERCADO</t>
  </si>
  <si>
    <t>VALOR COBRADO A MAIOR PELO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</si>
</sst>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%"/>
    <numFmt numFmtId="165" formatCode="0.00000%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44" fontId="0" fillId="0" borderId="0" xfId="1" applyFont="1"/>
    <xf numFmtId="0" fontId="2" fillId="2" borderId="0" xfId="0" applyFont="1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1" xfId="0" applyBorder="1"/>
    <xf numFmtId="164" fontId="0" fillId="0" borderId="2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left"/>
    </xf>
    <xf numFmtId="0" fontId="3" fillId="0" borderId="4" xfId="0" applyFont="1" applyBorder="1"/>
    <xf numFmtId="44" fontId="0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49" fontId="0" fillId="0" borderId="3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0" borderId="10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3" fillId="3" borderId="1" xfId="0" applyFont="1" applyFill="1" applyBorder="1"/>
    <xf numFmtId="44" fontId="0" fillId="3" borderId="2" xfId="1" applyFont="1" applyFill="1" applyBorder="1" applyAlignment="1">
      <alignment horizontal="center"/>
    </xf>
    <xf numFmtId="0" fontId="3" fillId="0" borderId="11" xfId="0" applyFont="1" applyBorder="1"/>
    <xf numFmtId="44" fontId="0" fillId="0" borderId="12" xfId="1" applyFont="1" applyBorder="1" applyAlignment="1">
      <alignment horizontal="center"/>
    </xf>
    <xf numFmtId="0" fontId="3" fillId="0" borderId="13" xfId="0" applyFont="1" applyBorder="1"/>
    <xf numFmtId="44" fontId="0" fillId="0" borderId="14" xfId="1" applyFont="1" applyBorder="1" applyAlignment="1">
      <alignment horizontal="center"/>
    </xf>
    <xf numFmtId="0" fontId="4" fillId="0" borderId="13" xfId="0" applyFont="1" applyBorder="1"/>
    <xf numFmtId="44" fontId="7" fillId="0" borderId="14" xfId="1" applyFont="1" applyFill="1" applyBorder="1" applyAlignment="1">
      <alignment horizontal="center"/>
    </xf>
    <xf numFmtId="0" fontId="3" fillId="0" borderId="15" xfId="0" applyFont="1" applyBorder="1"/>
    <xf numFmtId="14" fontId="0" fillId="0" borderId="16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4" fontId="0" fillId="0" borderId="19" xfId="1" applyFont="1" applyBorder="1"/>
    <xf numFmtId="0" fontId="0" fillId="0" borderId="19" xfId="0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8" fillId="0" borderId="0" xfId="0" applyNumberFormat="1" applyFont="1" applyAlignment="1">
      <alignment horizontal="center"/>
    </xf>
    <xf numFmtId="44" fontId="7" fillId="0" borderId="1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3" fillId="5" borderId="0" xfId="0" applyNumberFormat="1" applyFont="1" applyFill="1"/>
    <xf numFmtId="10" fontId="0" fillId="0" borderId="0" xfId="2" applyNumberFormat="1" applyFont="1"/>
    <xf numFmtId="165" fontId="0" fillId="0" borderId="0" xfId="2" applyNumberFormat="1" applyFont="1"/>
    <xf numFmtId="9" fontId="0" fillId="0" borderId="0" xfId="0" applyNumberFormat="1"/>
    <xf numFmtId="165" fontId="0" fillId="0" borderId="0" xfId="2" applyNumberFormat="1" applyFont="1" applyFill="1"/>
    <xf numFmtId="8" fontId="0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12" fillId="0" borderId="9" xfId="2" applyNumberFormat="1" applyFont="1" applyBorder="1" applyAlignment="1">
      <alignment horizontal="right"/>
    </xf>
    <xf numFmtId="165" fontId="0" fillId="0" borderId="2" xfId="2" applyNumberFormat="1" applyFont="1" applyBorder="1" applyAlignment="1">
      <alignment horizontal="center"/>
    </xf>
    <xf numFmtId="0" fontId="0" fillId="0" borderId="7" xfId="0" applyBorder="1"/>
    <xf numFmtId="165" fontId="0" fillId="0" borderId="8" xfId="2" applyNumberFormat="1" applyFont="1" applyBorder="1" applyAlignment="1">
      <alignment horizontal="center"/>
    </xf>
    <xf numFmtId="0" fontId="0" fillId="0" borderId="9" xfId="0" applyBorder="1"/>
    <xf numFmtId="164" fontId="0" fillId="0" borderId="10" xfId="2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1" xfId="1" applyFont="1" applyBorder="1"/>
    <xf numFmtId="8" fontId="0" fillId="0" borderId="21" xfId="1" applyNumberFormat="1" applyFont="1" applyBorder="1"/>
    <xf numFmtId="44" fontId="0" fillId="0" borderId="21" xfId="0" applyNumberFormat="1" applyBorder="1" applyAlignment="1">
      <alignment horizontal="center"/>
    </xf>
    <xf numFmtId="44" fontId="7" fillId="0" borderId="21" xfId="1" applyFont="1" applyBorder="1" applyAlignment="1">
      <alignment horizontal="center"/>
    </xf>
    <xf numFmtId="7" fontId="7" fillId="0" borderId="21" xfId="1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2" fillId="0" borderId="0" xfId="0" applyNumberFormat="1" applyFont="1"/>
    <xf numFmtId="8" fontId="0" fillId="0" borderId="19" xfId="1" applyNumberFormat="1" applyFont="1" applyBorder="1" applyAlignment="1">
      <alignment horizontal="center"/>
    </xf>
    <xf numFmtId="44" fontId="2" fillId="4" borderId="0" xfId="1" applyFont="1" applyFill="1" applyAlignment="1"/>
    <xf numFmtId="0" fontId="3" fillId="5" borderId="0" xfId="0" applyFont="1" applyFill="1"/>
    <xf numFmtId="0" fontId="3" fillId="7" borderId="7" xfId="0" applyFont="1" applyFill="1" applyBorder="1" applyAlignment="1">
      <alignment horizontal="center"/>
    </xf>
    <xf numFmtId="10" fontId="9" fillId="7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3" xfId="0" applyBorder="1" applyAlignment="1">
      <alignment horizontal="justify" vertical="center" wrapText="1"/>
    </xf>
    <xf numFmtId="0" fontId="3" fillId="7" borderId="22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0" fillId="0" borderId="3" xfId="0" applyBorder="1"/>
    <xf numFmtId="0" fontId="3" fillId="0" borderId="3" xfId="0" applyFont="1" applyBorder="1"/>
    <xf numFmtId="8" fontId="0" fillId="0" borderId="6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3" fillId="9" borderId="9" xfId="0" applyFont="1" applyFill="1" applyBorder="1"/>
    <xf numFmtId="44" fontId="0" fillId="9" borderId="10" xfId="1" applyFont="1" applyFill="1" applyBorder="1" applyAlignment="1">
      <alignment horizontal="center"/>
    </xf>
    <xf numFmtId="0" fontId="3" fillId="5" borderId="9" xfId="0" applyFont="1" applyFill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0" fontId="0" fillId="0" borderId="26" xfId="0" applyNumberFormat="1" applyBorder="1" applyAlignment="1">
      <alignment horizontal="center"/>
    </xf>
    <xf numFmtId="0" fontId="0" fillId="3" borderId="1" xfId="0" applyFill="1" applyBorder="1"/>
    <xf numFmtId="44" fontId="0" fillId="3" borderId="2" xfId="0" applyNumberFormat="1" applyFill="1" applyBorder="1" applyAlignment="1">
      <alignment horizontal="center"/>
    </xf>
    <xf numFmtId="0" fontId="15" fillId="11" borderId="5" xfId="0" applyFont="1" applyFill="1" applyBorder="1" applyAlignment="1">
      <alignment vertical="center" wrapText="1"/>
    </xf>
    <xf numFmtId="44" fontId="3" fillId="11" borderId="5" xfId="0" applyNumberFormat="1" applyFont="1" applyFill="1" applyBorder="1"/>
    <xf numFmtId="44" fontId="0" fillId="5" borderId="10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8" xfId="0" applyNumberFormat="1" applyBorder="1" applyAlignment="1">
      <alignment horizontal="left"/>
    </xf>
    <xf numFmtId="14" fontId="10" fillId="6" borderId="1" xfId="0" applyNumberFormat="1" applyFont="1" applyFill="1" applyBorder="1" applyAlignment="1">
      <alignment horizontal="center"/>
    </xf>
    <xf numFmtId="14" fontId="10" fillId="6" borderId="20" xfId="0" applyNumberFormat="1" applyFont="1" applyFill="1" applyBorder="1" applyAlignment="1">
      <alignment horizontal="center"/>
    </xf>
    <xf numFmtId="14" fontId="10" fillId="6" borderId="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2" fillId="2" borderId="21" xfId="0" applyNumberFormat="1" applyFont="1" applyFill="1" applyBorder="1" applyAlignment="1">
      <alignment horizontal="center"/>
    </xf>
    <xf numFmtId="14" fontId="10" fillId="6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" fillId="10" borderId="0" xfId="0" applyFont="1" applyFill="1" applyAlignment="1">
      <alignment horizontal="center" wrapText="1"/>
    </xf>
    <xf numFmtId="10" fontId="3" fillId="10" borderId="0" xfId="0" applyNumberFormat="1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workbookViewId="0">
      <selection activeCell="C17" sqref="C17"/>
    </sheetView>
  </sheetViews>
  <sheetFormatPr defaultRowHeight="14.4" x14ac:dyDescent="0.3"/>
  <cols>
    <col min="1" max="1" width="2.6640625" customWidth="1"/>
    <col min="2" max="2" width="31.109375" bestFit="1" customWidth="1"/>
    <col min="3" max="3" width="14.33203125" style="4" bestFit="1" customWidth="1"/>
    <col min="4" max="4" width="11.5546875" customWidth="1"/>
    <col min="5" max="5" width="16.5546875" bestFit="1" customWidth="1"/>
    <col min="6" max="6" width="10.664062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26" t="s">
        <v>0</v>
      </c>
      <c r="C1" s="127"/>
      <c r="D1" s="127"/>
      <c r="E1" s="127"/>
      <c r="F1" s="128"/>
    </row>
    <row r="2" spans="2:6" x14ac:dyDescent="0.3">
      <c r="B2" s="4"/>
      <c r="D2" s="4"/>
      <c r="E2" s="4"/>
    </row>
    <row r="3" spans="2:6" x14ac:dyDescent="0.3">
      <c r="B3" s="27" t="s">
        <v>1</v>
      </c>
      <c r="C3" s="131" t="s">
        <v>2</v>
      </c>
      <c r="D3" s="131"/>
      <c r="E3" s="131"/>
      <c r="F3" s="132"/>
    </row>
    <row r="4" spans="2:6" x14ac:dyDescent="0.3">
      <c r="B4" s="1" t="s">
        <v>3</v>
      </c>
      <c r="C4" s="13" t="s">
        <v>4</v>
      </c>
      <c r="E4" s="15" t="s">
        <v>5</v>
      </c>
      <c r="F4" s="92">
        <v>43369</v>
      </c>
    </row>
    <row r="5" spans="2:6" x14ac:dyDescent="0.3">
      <c r="B5" s="1" t="s">
        <v>6</v>
      </c>
      <c r="C5" s="13" t="s">
        <v>7</v>
      </c>
      <c r="E5" s="17" t="s">
        <v>8</v>
      </c>
      <c r="F5" s="93">
        <v>43399</v>
      </c>
    </row>
    <row r="6" spans="2:6" x14ac:dyDescent="0.3">
      <c r="B6" s="1"/>
      <c r="E6" s="18" t="s">
        <v>9</v>
      </c>
      <c r="F6" s="94">
        <f>EDATE(F5,C18-1)</f>
        <v>44830</v>
      </c>
    </row>
    <row r="7" spans="2:6" x14ac:dyDescent="0.3">
      <c r="B7" s="15" t="s">
        <v>10</v>
      </c>
      <c r="C7" s="16">
        <v>13900</v>
      </c>
    </row>
    <row r="8" spans="2:6" x14ac:dyDescent="0.3">
      <c r="B8" s="17" t="s">
        <v>11</v>
      </c>
      <c r="C8" s="76">
        <v>443.36</v>
      </c>
    </row>
    <row r="9" spans="2:6" x14ac:dyDescent="0.3">
      <c r="B9" s="17" t="s">
        <v>12</v>
      </c>
      <c r="C9" s="76">
        <v>59.86</v>
      </c>
    </row>
    <row r="10" spans="2:6" x14ac:dyDescent="0.3">
      <c r="B10" s="17" t="s">
        <v>13</v>
      </c>
      <c r="C10" s="76">
        <v>450</v>
      </c>
    </row>
    <row r="11" spans="2:6" x14ac:dyDescent="0.3">
      <c r="B11" s="17" t="s">
        <v>14</v>
      </c>
      <c r="C11" s="76">
        <v>835.91</v>
      </c>
    </row>
    <row r="12" spans="2:6" x14ac:dyDescent="0.3">
      <c r="B12" s="17" t="s">
        <v>15</v>
      </c>
      <c r="C12" s="76">
        <v>62.22</v>
      </c>
    </row>
    <row r="13" spans="2:6" x14ac:dyDescent="0.3">
      <c r="B13" s="18" t="s">
        <v>16</v>
      </c>
      <c r="C13" s="21">
        <v>0</v>
      </c>
    </row>
    <row r="15" spans="2:6" x14ac:dyDescent="0.3">
      <c r="B15" s="3" t="s">
        <v>17</v>
      </c>
      <c r="C15" s="6">
        <f>SUM(C7:C13)</f>
        <v>15751.35</v>
      </c>
    </row>
    <row r="17" spans="2:5" x14ac:dyDescent="0.3">
      <c r="B17" s="15" t="s">
        <v>18</v>
      </c>
      <c r="C17" s="16">
        <v>624.55999999999995</v>
      </c>
    </row>
    <row r="18" spans="2:5" x14ac:dyDescent="0.3">
      <c r="B18" s="17" t="s">
        <v>19</v>
      </c>
      <c r="C18" s="24">
        <v>48</v>
      </c>
    </row>
    <row r="19" spans="2:5" x14ac:dyDescent="0.3">
      <c r="B19" s="18" t="s">
        <v>20</v>
      </c>
      <c r="C19" s="21">
        <f>C17*C18</f>
        <v>29978.879999999997</v>
      </c>
    </row>
    <row r="20" spans="2:5" x14ac:dyDescent="0.3">
      <c r="B20" s="1"/>
      <c r="C20" s="5"/>
    </row>
    <row r="21" spans="2:5" x14ac:dyDescent="0.3">
      <c r="B21" s="15" t="s">
        <v>21</v>
      </c>
      <c r="C21" s="75">
        <v>3.0099999999999998E-2</v>
      </c>
      <c r="D21" s="59"/>
      <c r="E21" s="60"/>
    </row>
    <row r="22" spans="2:5" x14ac:dyDescent="0.3">
      <c r="B22" s="18" t="s">
        <v>22</v>
      </c>
      <c r="C22" s="74">
        <f>((1+C21)^12)-1</f>
        <v>0.42742285476297193</v>
      </c>
      <c r="D22" s="58"/>
      <c r="E22" s="61"/>
    </row>
    <row r="23" spans="2:5" x14ac:dyDescent="0.3">
      <c r="B23" s="1"/>
      <c r="C23" s="7"/>
    </row>
    <row r="24" spans="2:5" x14ac:dyDescent="0.3">
      <c r="B24" s="15" t="s">
        <v>23</v>
      </c>
      <c r="C24" s="75">
        <v>3.7100000000000001E-2</v>
      </c>
      <c r="E24" s="62"/>
    </row>
    <row r="25" spans="2:5" x14ac:dyDescent="0.3">
      <c r="B25" s="18" t="s">
        <v>24</v>
      </c>
      <c r="C25" s="74">
        <f>((1+C24)^12)-1</f>
        <v>0.54827325260839266</v>
      </c>
    </row>
    <row r="26" spans="2:5" x14ac:dyDescent="0.3">
      <c r="B26" s="1"/>
      <c r="C26" s="7"/>
    </row>
    <row r="27" spans="2:5" x14ac:dyDescent="0.3">
      <c r="B27" s="27" t="s">
        <v>25</v>
      </c>
      <c r="C27" s="28" t="s">
        <v>26</v>
      </c>
    </row>
    <row r="29" spans="2:5" x14ac:dyDescent="0.3">
      <c r="B29" s="29" t="s">
        <v>27</v>
      </c>
      <c r="C29" s="30">
        <f>C19-C7</f>
        <v>16078.879999999997</v>
      </c>
    </row>
    <row r="32" spans="2:5" x14ac:dyDescent="0.3">
      <c r="B32" s="63"/>
      <c r="C32" s="64"/>
    </row>
    <row r="33" spans="2:9" x14ac:dyDescent="0.3">
      <c r="B33" s="129" t="s">
        <v>28</v>
      </c>
      <c r="C33" s="130"/>
      <c r="G33" s="125" t="s">
        <v>29</v>
      </c>
      <c r="H33" s="125"/>
      <c r="I33" s="1"/>
    </row>
    <row r="34" spans="2:9" x14ac:dyDescent="0.3">
      <c r="B34" s="78">
        <f>RATE(C18,-C17,C15)</f>
        <v>3.0100489153328313E-2</v>
      </c>
      <c r="C34" s="77" t="s">
        <v>30</v>
      </c>
      <c r="G34" s="10" t="s">
        <v>31</v>
      </c>
      <c r="H34" s="11">
        <f>((1+C21)^12)-1</f>
        <v>0.42742285476297193</v>
      </c>
    </row>
    <row r="35" spans="2:9" x14ac:dyDescent="0.3">
      <c r="B35" s="63"/>
      <c r="C35" s="64"/>
    </row>
    <row r="36" spans="2:9" x14ac:dyDescent="0.3">
      <c r="G36" s="10" t="s">
        <v>32</v>
      </c>
      <c r="H36" s="79">
        <f>C21/30</f>
        <v>1.0033333333333333E-3</v>
      </c>
    </row>
    <row r="37" spans="2:9" x14ac:dyDescent="0.3">
      <c r="H37" s="8"/>
    </row>
    <row r="38" spans="2:9" x14ac:dyDescent="0.3">
      <c r="G38" s="123" t="s">
        <v>33</v>
      </c>
      <c r="H38" s="124"/>
    </row>
    <row r="39" spans="2:9" x14ac:dyDescent="0.3">
      <c r="G39" s="80" t="s">
        <v>34</v>
      </c>
      <c r="H39" s="81">
        <f>((1+H36)^30)-1</f>
        <v>3.0542033486550491E-2</v>
      </c>
    </row>
    <row r="40" spans="2:9" x14ac:dyDescent="0.3">
      <c r="G40" s="82" t="s">
        <v>35</v>
      </c>
      <c r="H40" s="83">
        <f>+((1+H39)^12)-1</f>
        <v>0.43479060558715266</v>
      </c>
    </row>
    <row r="42" spans="2:9" x14ac:dyDescent="0.3">
      <c r="G42" s="104" t="s">
        <v>36</v>
      </c>
    </row>
    <row r="43" spans="2:9" ht="43.2" x14ac:dyDescent="0.3">
      <c r="G43" s="103" t="s">
        <v>37</v>
      </c>
    </row>
  </sheetData>
  <mergeCells count="5">
    <mergeCell ref="G38:H38"/>
    <mergeCell ref="G33:H33"/>
    <mergeCell ref="B1:F1"/>
    <mergeCell ref="B33:C33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7"/>
  <sheetViews>
    <sheetView topLeftCell="A32" zoomScale="90" zoomScaleNormal="90" workbookViewId="0">
      <selection activeCell="D24" sqref="D24"/>
    </sheetView>
  </sheetViews>
  <sheetFormatPr defaultRowHeight="14.4" x14ac:dyDescent="0.3"/>
  <cols>
    <col min="1" max="1" width="2.88671875" customWidth="1"/>
    <col min="2" max="2" width="20.6640625" customWidth="1"/>
    <col min="3" max="3" width="14.33203125" style="12" bestFit="1" customWidth="1"/>
    <col min="4" max="4" width="18.6640625" style="2" bestFit="1" customWidth="1"/>
    <col min="5" max="5" width="13.33203125" style="4" bestFit="1" customWidth="1"/>
    <col min="6" max="6" width="16.109375" style="4" customWidth="1"/>
    <col min="7" max="7" width="14.33203125" style="5" bestFit="1" customWidth="1"/>
  </cols>
  <sheetData>
    <row r="1" spans="2:7" ht="17.399999999999999" x14ac:dyDescent="0.35">
      <c r="B1" s="139" t="s">
        <v>38</v>
      </c>
      <c r="C1" s="140"/>
      <c r="D1" s="140"/>
      <c r="E1" s="140"/>
      <c r="F1" s="140"/>
      <c r="G1" s="141"/>
    </row>
    <row r="2" spans="2:7" ht="17.399999999999999" x14ac:dyDescent="0.35">
      <c r="B2" s="53"/>
      <c r="C2" s="53"/>
      <c r="D2" s="53"/>
      <c r="E2" s="53"/>
      <c r="F2" s="53"/>
      <c r="G2" s="53"/>
    </row>
    <row r="3" spans="2:7" x14ac:dyDescent="0.3">
      <c r="B3" s="15" t="s">
        <v>39</v>
      </c>
      <c r="C3" s="133" t="str">
        <f>'DADOS DO CONTRATO E CAPITALIZ'!C3</f>
        <v>XXXXXXXX</v>
      </c>
      <c r="D3" s="134"/>
      <c r="E3" s="134"/>
      <c r="F3" s="134"/>
      <c r="G3" s="135"/>
    </row>
    <row r="4" spans="2:7" x14ac:dyDescent="0.3">
      <c r="B4" s="17" t="s">
        <v>40</v>
      </c>
      <c r="C4" s="136" t="str">
        <f>'DADOS DO CONTRATO E CAPITALIZ'!C4</f>
        <v>SANTANDER</v>
      </c>
      <c r="D4" s="137"/>
      <c r="E4" s="137"/>
      <c r="F4" s="137"/>
      <c r="G4" s="138"/>
    </row>
    <row r="5" spans="2:7" x14ac:dyDescent="0.3">
      <c r="B5" s="18" t="s">
        <v>41</v>
      </c>
      <c r="C5" s="22" t="str">
        <f>'DADOS DO CONTRATO E CAPITALIZ'!C5</f>
        <v>0000</v>
      </c>
      <c r="D5" s="19"/>
      <c r="E5" s="65" t="s">
        <v>42</v>
      </c>
      <c r="F5" s="20"/>
      <c r="G5" s="23">
        <f>'DADOS DO CONTRATO E CAPITALIZ'!F4</f>
        <v>43369</v>
      </c>
    </row>
    <row r="6" spans="2:7" x14ac:dyDescent="0.3">
      <c r="B6" s="1"/>
      <c r="D6" s="14"/>
    </row>
    <row r="7" spans="2:7" x14ac:dyDescent="0.3">
      <c r="B7" s="31" t="s">
        <v>10</v>
      </c>
      <c r="C7" s="32">
        <f>'DADOS DO CONTRATO E CAPITALIZ'!C7</f>
        <v>13900</v>
      </c>
      <c r="D7" s="14"/>
      <c r="E7" s="142" t="s">
        <v>18</v>
      </c>
      <c r="F7" s="143"/>
      <c r="G7" s="32">
        <f>'DADOS DO CONTRATO E CAPITALIZ'!C17</f>
        <v>624.55999999999995</v>
      </c>
    </row>
    <row r="8" spans="2:7" x14ac:dyDescent="0.3">
      <c r="B8" s="33" t="str">
        <f>'DADOS DO CONTRATO E CAPITALIZ'!B8</f>
        <v>IOF financiado</v>
      </c>
      <c r="C8" s="34">
        <f>'DADOS DO CONTRATO E CAPITALIZ'!C8</f>
        <v>443.36</v>
      </c>
      <c r="D8" s="14"/>
      <c r="E8" s="144" t="s">
        <v>19</v>
      </c>
      <c r="F8" s="145"/>
      <c r="G8" s="41">
        <f>'DADOS DO CONTRATO E CAPITALIZ'!C18</f>
        <v>48</v>
      </c>
    </row>
    <row r="9" spans="2:7" x14ac:dyDescent="0.3">
      <c r="B9" s="33" t="str">
        <f>'DADOS DO CONTRATO E CAPITALIZ'!B9</f>
        <v>IOF adicional</v>
      </c>
      <c r="C9" s="34">
        <f>'DADOS DO CONTRATO E CAPITALIZ'!C9</f>
        <v>59.86</v>
      </c>
      <c r="D9" s="14"/>
      <c r="E9" s="147" t="s">
        <v>43</v>
      </c>
      <c r="F9" s="148"/>
      <c r="G9" s="42">
        <f>'DADOS DO CONTRATO E CAPITALIZ'!C19</f>
        <v>29978.879999999997</v>
      </c>
    </row>
    <row r="10" spans="2:7" x14ac:dyDescent="0.3">
      <c r="B10" s="33" t="str">
        <f>'DADOS DO CONTRATO E CAPITALIZ'!B10</f>
        <v>tarifa de avaliação</v>
      </c>
      <c r="C10" s="34">
        <f>'DADOS DO CONTRATO E CAPITALIZ'!C10</f>
        <v>450</v>
      </c>
      <c r="D10" s="14"/>
    </row>
    <row r="11" spans="2:7" x14ac:dyDescent="0.3">
      <c r="B11" s="33" t="str">
        <f>'DADOS DO CONTRATO E CAPITALIZ'!B11</f>
        <v>seguro</v>
      </c>
      <c r="C11" s="34">
        <f>'DADOS DO CONTRATO E CAPITALIZ'!C11</f>
        <v>835.91</v>
      </c>
      <c r="D11" s="14"/>
      <c r="E11" s="142" t="s">
        <v>21</v>
      </c>
      <c r="F11" s="143"/>
      <c r="G11" s="39">
        <f>'DADOS DO CONTRATO E CAPITALIZ'!C21</f>
        <v>3.0099999999999998E-2</v>
      </c>
    </row>
    <row r="12" spans="2:7" x14ac:dyDescent="0.3">
      <c r="B12" s="33" t="str">
        <f>'DADOS DO CONTRATO E CAPITALIZ'!B12</f>
        <v>registro no órgão de trânsito</v>
      </c>
      <c r="C12" s="34">
        <f>'DADOS DO CONTRATO E CAPITALIZ'!C12</f>
        <v>62.22</v>
      </c>
      <c r="D12" s="14"/>
      <c r="E12" s="147" t="s">
        <v>22</v>
      </c>
      <c r="F12" s="148"/>
      <c r="G12" s="40">
        <f>'DADOS DO CONTRATO E CAPITALIZ'!C22</f>
        <v>0.42742285476297193</v>
      </c>
    </row>
    <row r="13" spans="2:7" x14ac:dyDescent="0.3">
      <c r="B13" s="33" t="str">
        <f>'DADOS DO CONTRATO E CAPITALIZ'!B13</f>
        <v>Outros:</v>
      </c>
      <c r="C13" s="34">
        <f>'DADOS DO CONTRATO E CAPITALIZ'!C13</f>
        <v>0</v>
      </c>
      <c r="D13" s="14"/>
      <c r="E13" s="142" t="s">
        <v>23</v>
      </c>
      <c r="F13" s="143"/>
      <c r="G13" s="39">
        <f>'DADOS DO CONTRATO E CAPITALIZ'!C24</f>
        <v>3.7100000000000001E-2</v>
      </c>
    </row>
    <row r="14" spans="2:7" x14ac:dyDescent="0.3">
      <c r="B14" s="35" t="s">
        <v>17</v>
      </c>
      <c r="C14" s="36">
        <f>SUM(C7:C13)</f>
        <v>15751.35</v>
      </c>
      <c r="D14" s="14"/>
      <c r="E14" s="147" t="s">
        <v>24</v>
      </c>
      <c r="F14" s="148"/>
      <c r="G14" s="40">
        <f>'DADOS DO CONTRATO E CAPITALIZ'!C25</f>
        <v>0.54827325260839266</v>
      </c>
    </row>
    <row r="15" spans="2:7" x14ac:dyDescent="0.3">
      <c r="B15" s="37" t="s">
        <v>8</v>
      </c>
      <c r="C15" s="38">
        <f>'DADOS DO CONTRATO E CAPITALIZ'!F5</f>
        <v>43399</v>
      </c>
      <c r="D15" s="14"/>
    </row>
    <row r="17" spans="2:7" x14ac:dyDescent="0.3">
      <c r="B17" s="146" t="s">
        <v>44</v>
      </c>
      <c r="C17" s="146"/>
      <c r="D17" s="146"/>
      <c r="E17" s="146"/>
      <c r="F17" s="146"/>
      <c r="G17" s="146"/>
    </row>
    <row r="18" spans="2:7" s="4" customFormat="1" x14ac:dyDescent="0.3">
      <c r="B18" s="43" t="s">
        <v>45</v>
      </c>
      <c r="C18" s="44" t="s">
        <v>46</v>
      </c>
      <c r="D18" s="45" t="s">
        <v>47</v>
      </c>
      <c r="E18" s="46" t="s">
        <v>48</v>
      </c>
      <c r="F18" s="46" t="s">
        <v>49</v>
      </c>
      <c r="G18" s="32" t="s">
        <v>50</v>
      </c>
    </row>
    <row r="19" spans="2:7" x14ac:dyDescent="0.3">
      <c r="B19" s="47">
        <v>0</v>
      </c>
      <c r="C19" s="48">
        <f>'DADOS DO CONTRATO E CAPITALIZ'!F4</f>
        <v>43369</v>
      </c>
      <c r="D19" s="49"/>
      <c r="E19" s="50"/>
      <c r="F19" s="50"/>
      <c r="G19" s="34">
        <f>'DADOS DO CONTRATO E CAPITALIZ'!C15</f>
        <v>15751.35</v>
      </c>
    </row>
    <row r="20" spans="2:7" x14ac:dyDescent="0.3">
      <c r="B20" s="47">
        <v>1</v>
      </c>
      <c r="C20" s="48">
        <f>C15</f>
        <v>43399</v>
      </c>
      <c r="D20" s="49">
        <f>G7</f>
        <v>624.55999999999995</v>
      </c>
      <c r="E20" s="51">
        <f>G19*'DADOS DO CONTRATO E CAPITALIZ'!$B$34</f>
        <v>474.12333982527792</v>
      </c>
      <c r="F20" s="51">
        <f>D20-E20</f>
        <v>150.43666017472202</v>
      </c>
      <c r="G20" s="34">
        <f>G19-F20</f>
        <v>15600.913339825278</v>
      </c>
    </row>
    <row r="21" spans="2:7" x14ac:dyDescent="0.3">
      <c r="B21" s="47">
        <v>2</v>
      </c>
      <c r="C21" s="48">
        <f>EDATE(C20,1)</f>
        <v>43430</v>
      </c>
      <c r="D21" s="49">
        <f>D20</f>
        <v>624.55999999999995</v>
      </c>
      <c r="E21" s="51">
        <f>G20*'DADOS DO CONTRATO E CAPITALIZ'!$B$34</f>
        <v>469.59512276742578</v>
      </c>
      <c r="F21" s="51">
        <f t="shared" ref="F21:F67" si="0">D21-E21</f>
        <v>154.96487723257417</v>
      </c>
      <c r="G21" s="34">
        <f t="shared" ref="G21:G30" si="1">G20-F21</f>
        <v>15445.948462592703</v>
      </c>
    </row>
    <row r="22" spans="2:7" x14ac:dyDescent="0.3">
      <c r="B22" s="47">
        <v>3</v>
      </c>
      <c r="C22" s="48">
        <f t="shared" ref="C22:C67" si="2">EDATE(C21,1)</f>
        <v>43460</v>
      </c>
      <c r="D22" s="49">
        <f t="shared" ref="D22:D67" si="3">D21</f>
        <v>624.55999999999995</v>
      </c>
      <c r="E22" s="51">
        <f>G21*'DADOS DO CONTRATO E CAPITALIZ'!$B$34</f>
        <v>464.9306041611398</v>
      </c>
      <c r="F22" s="51">
        <f t="shared" si="0"/>
        <v>159.62939583886015</v>
      </c>
      <c r="G22" s="34">
        <f t="shared" si="1"/>
        <v>15286.319066753844</v>
      </c>
    </row>
    <row r="23" spans="2:7" x14ac:dyDescent="0.3">
      <c r="B23" s="47">
        <v>4</v>
      </c>
      <c r="C23" s="48">
        <f t="shared" si="2"/>
        <v>43491</v>
      </c>
      <c r="D23" s="49">
        <f t="shared" si="3"/>
        <v>624.55999999999995</v>
      </c>
      <c r="E23" s="51">
        <f>G22*'DADOS DO CONTRATO E CAPITALIZ'!$B$34</f>
        <v>460.12568126313988</v>
      </c>
      <c r="F23" s="51">
        <f t="shared" si="0"/>
        <v>164.43431873686006</v>
      </c>
      <c r="G23" s="34">
        <f t="shared" si="1"/>
        <v>15121.884748016984</v>
      </c>
    </row>
    <row r="24" spans="2:7" x14ac:dyDescent="0.3">
      <c r="B24" s="47">
        <v>5</v>
      </c>
      <c r="C24" s="48">
        <f t="shared" si="2"/>
        <v>43522</v>
      </c>
      <c r="D24" s="49">
        <f t="shared" si="3"/>
        <v>624.55999999999995</v>
      </c>
      <c r="E24" s="51">
        <f>G23*'DADOS DO CONTRATO E CAPITALIZ'!$B$34</f>
        <v>455.17612783556609</v>
      </c>
      <c r="F24" s="51">
        <f t="shared" si="0"/>
        <v>169.38387216443385</v>
      </c>
      <c r="G24" s="34">
        <f t="shared" si="1"/>
        <v>14952.500875852551</v>
      </c>
    </row>
    <row r="25" spans="2:7" x14ac:dyDescent="0.3">
      <c r="B25" s="47">
        <v>6</v>
      </c>
      <c r="C25" s="48">
        <f t="shared" si="2"/>
        <v>43550</v>
      </c>
      <c r="D25" s="49">
        <f t="shared" si="3"/>
        <v>624.55999999999995</v>
      </c>
      <c r="E25" s="51">
        <f>G24*'DADOS DO CONTRATO E CAPITALIZ'!$B$34</f>
        <v>450.07759042873181</v>
      </c>
      <c r="F25" s="51">
        <f t="shared" si="0"/>
        <v>174.48240957126814</v>
      </c>
      <c r="G25" s="34">
        <f t="shared" si="1"/>
        <v>14778.018466281283</v>
      </c>
    </row>
    <row r="26" spans="2:7" x14ac:dyDescent="0.3">
      <c r="B26" s="47">
        <v>7</v>
      </c>
      <c r="C26" s="48">
        <f t="shared" si="2"/>
        <v>43581</v>
      </c>
      <c r="D26" s="49">
        <f t="shared" si="3"/>
        <v>624.55999999999995</v>
      </c>
      <c r="E26" s="51">
        <f>G25*'DADOS DO CONTRATO E CAPITALIZ'!$B$34</f>
        <v>444.82558455198523</v>
      </c>
      <c r="F26" s="51">
        <f t="shared" si="0"/>
        <v>179.73441544801472</v>
      </c>
      <c r="G26" s="34">
        <f t="shared" si="1"/>
        <v>14598.284050833268</v>
      </c>
    </row>
    <row r="27" spans="2:7" x14ac:dyDescent="0.3">
      <c r="B27" s="47">
        <v>8</v>
      </c>
      <c r="C27" s="48">
        <f t="shared" si="2"/>
        <v>43611</v>
      </c>
      <c r="D27" s="49">
        <f t="shared" si="3"/>
        <v>624.55999999999995</v>
      </c>
      <c r="E27" s="51">
        <f>G26*'DADOS DO CONTRATO E CAPITALIZ'!$B$34</f>
        <v>439.41549072931252</v>
      </c>
      <c r="F27" s="51">
        <f t="shared" si="0"/>
        <v>185.14450927068742</v>
      </c>
      <c r="G27" s="34">
        <f t="shared" si="1"/>
        <v>14413.139541562581</v>
      </c>
    </row>
    <row r="28" spans="2:7" x14ac:dyDescent="0.3">
      <c r="B28" s="47">
        <v>9</v>
      </c>
      <c r="C28" s="48">
        <f t="shared" si="2"/>
        <v>43642</v>
      </c>
      <c r="D28" s="49">
        <f t="shared" si="3"/>
        <v>624.55999999999995</v>
      </c>
      <c r="E28" s="51">
        <f>G27*'DADOS DO CONTRATO E CAPITALIZ'!$B$34</f>
        <v>433.84255043621187</v>
      </c>
      <c r="F28" s="51">
        <f t="shared" si="0"/>
        <v>190.71744956378808</v>
      </c>
      <c r="G28" s="34">
        <f t="shared" si="1"/>
        <v>14222.422091998793</v>
      </c>
    </row>
    <row r="29" spans="2:7" x14ac:dyDescent="0.3">
      <c r="B29" s="47">
        <v>10</v>
      </c>
      <c r="C29" s="48">
        <f t="shared" si="2"/>
        <v>43672</v>
      </c>
      <c r="D29" s="49">
        <f t="shared" si="3"/>
        <v>624.55999999999995</v>
      </c>
      <c r="E29" s="51">
        <f>G28*'DADOS DO CONTRATO E CAPITALIZ'!$B$34</f>
        <v>428.10186191426664</v>
      </c>
      <c r="F29" s="51">
        <f t="shared" si="0"/>
        <v>196.45813808573331</v>
      </c>
      <c r="G29" s="54">
        <f t="shared" si="1"/>
        <v>14025.96395391306</v>
      </c>
    </row>
    <row r="30" spans="2:7" x14ac:dyDescent="0.3">
      <c r="B30" s="47">
        <v>11</v>
      </c>
      <c r="C30" s="48">
        <f t="shared" si="2"/>
        <v>43703</v>
      </c>
      <c r="D30" s="49">
        <f t="shared" si="3"/>
        <v>624.55999999999995</v>
      </c>
      <c r="E30" s="51">
        <f>G29*'DADOS DO CONTRATO E CAPITALIZ'!$B$34</f>
        <v>422.18837585973398</v>
      </c>
      <c r="F30" s="51">
        <f t="shared" si="0"/>
        <v>202.37162414026596</v>
      </c>
      <c r="G30" s="34">
        <f t="shared" si="1"/>
        <v>13823.592329772795</v>
      </c>
    </row>
    <row r="31" spans="2:7" x14ac:dyDescent="0.3">
      <c r="B31" s="47">
        <v>12</v>
      </c>
      <c r="C31" s="48">
        <f t="shared" si="2"/>
        <v>43734</v>
      </c>
      <c r="D31" s="49">
        <f t="shared" si="3"/>
        <v>624.55999999999995</v>
      </c>
      <c r="E31" s="51">
        <f>G30*'DADOS DO CONTRATO E CAPITALIZ'!$B$34</f>
        <v>416.0968909823585</v>
      </c>
      <c r="F31" s="51">
        <f t="shared" si="0"/>
        <v>208.46310901764144</v>
      </c>
      <c r="G31" s="54">
        <f>G30-F31</f>
        <v>13615.129220755154</v>
      </c>
    </row>
    <row r="32" spans="2:7" x14ac:dyDescent="0.3">
      <c r="B32" s="47">
        <v>13</v>
      </c>
      <c r="C32" s="48">
        <f t="shared" si="2"/>
        <v>43764</v>
      </c>
      <c r="D32" s="49">
        <f t="shared" si="3"/>
        <v>624.55999999999995</v>
      </c>
      <c r="E32" s="51">
        <f>G31*'DADOS DO CONTRATO E CAPITALIZ'!$B$34</f>
        <v>409.82204943050391</v>
      </c>
      <c r="F32" s="51">
        <f t="shared" si="0"/>
        <v>214.73795056949604</v>
      </c>
      <c r="G32" s="54">
        <f>G31-F32</f>
        <v>13400.391270185659</v>
      </c>
    </row>
    <row r="33" spans="2:7" x14ac:dyDescent="0.3">
      <c r="B33" s="47">
        <v>14</v>
      </c>
      <c r="C33" s="48">
        <f t="shared" si="2"/>
        <v>43795</v>
      </c>
      <c r="D33" s="49">
        <f t="shared" si="3"/>
        <v>624.55999999999995</v>
      </c>
      <c r="E33" s="51">
        <f>G32*'DADOS DO CONTRATO E CAPITALIZ'!$B$34</f>
        <v>403.35833207857883</v>
      </c>
      <c r="F33" s="51">
        <f t="shared" si="0"/>
        <v>221.20166792142112</v>
      </c>
      <c r="G33" s="54">
        <f t="shared" ref="G33:G38" si="4">G32-F33</f>
        <v>13179.189602264238</v>
      </c>
    </row>
    <row r="34" spans="2:7" x14ac:dyDescent="0.3">
      <c r="B34" s="47">
        <v>15</v>
      </c>
      <c r="C34" s="48">
        <f t="shared" si="2"/>
        <v>43825</v>
      </c>
      <c r="D34" s="49">
        <f t="shared" si="3"/>
        <v>624.55999999999995</v>
      </c>
      <c r="E34" s="51">
        <f>G33*'DADOS DO CONTRATO E CAPITALIZ'!$B$34</f>
        <v>396.70005367261194</v>
      </c>
      <c r="F34" s="51">
        <f t="shared" si="0"/>
        <v>227.859946327388</v>
      </c>
      <c r="G34" s="54">
        <f t="shared" si="4"/>
        <v>12951.32965593685</v>
      </c>
    </row>
    <row r="35" spans="2:7" x14ac:dyDescent="0.3">
      <c r="B35" s="47">
        <v>16</v>
      </c>
      <c r="C35" s="48">
        <f t="shared" si="2"/>
        <v>43856</v>
      </c>
      <c r="D35" s="49">
        <f t="shared" si="3"/>
        <v>624.55999999999995</v>
      </c>
      <c r="E35" s="51">
        <f>G34*'DADOS DO CONTRATO E CAPITALIZ'!$B$34</f>
        <v>389.84135782970645</v>
      </c>
      <c r="F35" s="51">
        <f t="shared" si="0"/>
        <v>234.71864217029349</v>
      </c>
      <c r="G35" s="54">
        <f t="shared" si="4"/>
        <v>12716.611013766556</v>
      </c>
    </row>
    <row r="36" spans="2:7" x14ac:dyDescent="0.3">
      <c r="B36" s="47">
        <v>17</v>
      </c>
      <c r="C36" s="48">
        <f t="shared" si="2"/>
        <v>43887</v>
      </c>
      <c r="D36" s="49">
        <f t="shared" si="3"/>
        <v>624.55999999999995</v>
      </c>
      <c r="E36" s="51">
        <f>G35*'DADOS DO CONTRATO E CAPITALIZ'!$B$34</f>
        <v>382.7762118869756</v>
      </c>
      <c r="F36" s="51">
        <f t="shared" si="0"/>
        <v>241.78378811302434</v>
      </c>
      <c r="G36" s="54">
        <f t="shared" si="4"/>
        <v>12474.827225653533</v>
      </c>
    </row>
    <row r="37" spans="2:7" x14ac:dyDescent="0.3">
      <c r="B37" s="47">
        <v>18</v>
      </c>
      <c r="C37" s="48">
        <f t="shared" si="2"/>
        <v>43916</v>
      </c>
      <c r="D37" s="49">
        <f t="shared" si="3"/>
        <v>624.55999999999995</v>
      </c>
      <c r="E37" s="51">
        <f>G36*'DADOS DO CONTRATO E CAPITALIZ'!$B$34</f>
        <v>375.4984015954289</v>
      </c>
      <c r="F37" s="51">
        <f t="shared" si="0"/>
        <v>249.06159840457104</v>
      </c>
      <c r="G37" s="54">
        <f t="shared" si="4"/>
        <v>12225.765627248962</v>
      </c>
    </row>
    <row r="38" spans="2:7" x14ac:dyDescent="0.3">
      <c r="B38" s="47">
        <v>19</v>
      </c>
      <c r="C38" s="48">
        <f t="shared" si="2"/>
        <v>43947</v>
      </c>
      <c r="D38" s="49">
        <f t="shared" si="3"/>
        <v>624.55999999999995</v>
      </c>
      <c r="E38" s="51">
        <f>G37*'DADOS DO CONTRATO E CAPITALIZ'!$B$34</f>
        <v>368.00152565414152</v>
      </c>
      <c r="F38" s="51">
        <f t="shared" si="0"/>
        <v>256.55847434585843</v>
      </c>
      <c r="G38" s="54">
        <f t="shared" si="4"/>
        <v>11969.207152903104</v>
      </c>
    </row>
    <row r="39" spans="2:7" x14ac:dyDescent="0.3">
      <c r="B39" s="47">
        <v>20</v>
      </c>
      <c r="C39" s="48">
        <f t="shared" si="2"/>
        <v>43977</v>
      </c>
      <c r="D39" s="49">
        <f t="shared" si="3"/>
        <v>624.55999999999995</v>
      </c>
      <c r="E39" s="51">
        <f>G38*'DADOS DO CONTRATO E CAPITALIZ'!$B$34</f>
        <v>360.27899007989953</v>
      </c>
      <c r="F39" s="51">
        <f t="shared" si="0"/>
        <v>264.28100992010042</v>
      </c>
      <c r="G39" s="54">
        <f t="shared" ref="G39:G57" si="5">G38-F39</f>
        <v>11704.926142983004</v>
      </c>
    </row>
    <row r="40" spans="2:7" x14ac:dyDescent="0.3">
      <c r="B40" s="47">
        <v>21</v>
      </c>
      <c r="C40" s="48">
        <f t="shared" si="2"/>
        <v>44008</v>
      </c>
      <c r="D40" s="49">
        <f t="shared" si="3"/>
        <v>624.55999999999995</v>
      </c>
      <c r="E40" s="51">
        <f>G39*'DADOS DO CONTRATO E CAPITALIZ'!$B$34</f>
        <v>352.32400240736894</v>
      </c>
      <c r="F40" s="51">
        <f t="shared" si="0"/>
        <v>272.23599759263101</v>
      </c>
      <c r="G40" s="54">
        <f t="shared" si="5"/>
        <v>11432.690145390374</v>
      </c>
    </row>
    <row r="41" spans="2:7" x14ac:dyDescent="0.3">
      <c r="B41" s="47">
        <v>22</v>
      </c>
      <c r="C41" s="48">
        <f t="shared" si="2"/>
        <v>44038</v>
      </c>
      <c r="D41" s="49">
        <f t="shared" si="3"/>
        <v>624.55999999999995</v>
      </c>
      <c r="E41" s="51">
        <f>G40*'DADOS DO CONTRATO E CAPITALIZ'!$B$34</f>
        <v>344.12956571468646</v>
      </c>
      <c r="F41" s="51">
        <f t="shared" si="0"/>
        <v>280.43043428531348</v>
      </c>
      <c r="G41" s="54">
        <f t="shared" si="5"/>
        <v>11152.25971110506</v>
      </c>
    </row>
    <row r="42" spans="2:7" x14ac:dyDescent="0.3">
      <c r="B42" s="47">
        <v>23</v>
      </c>
      <c r="C42" s="48">
        <f t="shared" si="2"/>
        <v>44069</v>
      </c>
      <c r="D42" s="49">
        <f t="shared" si="3"/>
        <v>624.55999999999995</v>
      </c>
      <c r="E42" s="51">
        <f>G41*'DADOS DO CONTRATO E CAPITALIZ'!$B$34</f>
        <v>335.6884724692182</v>
      </c>
      <c r="F42" s="51">
        <f t="shared" si="0"/>
        <v>288.87152753078175</v>
      </c>
      <c r="G42" s="54">
        <f t="shared" si="5"/>
        <v>10863.388183574278</v>
      </c>
    </row>
    <row r="43" spans="2:7" x14ac:dyDescent="0.3">
      <c r="B43" s="47">
        <v>24</v>
      </c>
      <c r="C43" s="48">
        <f t="shared" si="2"/>
        <v>44100</v>
      </c>
      <c r="D43" s="49">
        <f t="shared" si="3"/>
        <v>624.55999999999995</v>
      </c>
      <c r="E43" s="51">
        <f>G42*'DADOS DO CONTRATO E CAPITALIZ'!$B$34</f>
        <v>326.99329818807252</v>
      </c>
      <c r="F43" s="51">
        <f t="shared" si="0"/>
        <v>297.56670181192743</v>
      </c>
      <c r="G43" s="54">
        <f t="shared" si="5"/>
        <v>10565.82148176235</v>
      </c>
    </row>
    <row r="44" spans="2:7" x14ac:dyDescent="0.3">
      <c r="B44" s="47">
        <v>25</v>
      </c>
      <c r="C44" s="48">
        <f t="shared" si="2"/>
        <v>44130</v>
      </c>
      <c r="D44" s="49">
        <f t="shared" si="3"/>
        <v>624.55999999999995</v>
      </c>
      <c r="E44" s="51">
        <f>G43*'DADOS DO CONTRATO E CAPITALIZ'!$B$34</f>
        <v>318.03639490779091</v>
      </c>
      <c r="F44" s="51">
        <f t="shared" si="0"/>
        <v>306.52360509220904</v>
      </c>
      <c r="G44" s="54">
        <f t="shared" si="5"/>
        <v>10259.297876670142</v>
      </c>
    </row>
    <row r="45" spans="2:7" x14ac:dyDescent="0.3">
      <c r="B45" s="47">
        <v>26</v>
      </c>
      <c r="C45" s="48">
        <f t="shared" si="2"/>
        <v>44161</v>
      </c>
      <c r="D45" s="49">
        <f t="shared" si="3"/>
        <v>624.55999999999995</v>
      </c>
      <c r="E45" s="51">
        <f>G44*'DADOS DO CONTRATO E CAPITALIZ'!$B$34</f>
        <v>308.8098844574738</v>
      </c>
      <c r="F45" s="51">
        <f t="shared" si="0"/>
        <v>315.75011554252615</v>
      </c>
      <c r="G45" s="54">
        <f t="shared" si="5"/>
        <v>9943.5477611276146</v>
      </c>
    </row>
    <row r="46" spans="2:7" x14ac:dyDescent="0.3">
      <c r="B46" s="47">
        <v>27</v>
      </c>
      <c r="C46" s="48">
        <f t="shared" si="2"/>
        <v>44191</v>
      </c>
      <c r="D46" s="49">
        <f t="shared" si="3"/>
        <v>624.55999999999995</v>
      </c>
      <c r="E46" s="51">
        <f>G45*'DADOS DO CONTRATO E CAPITALIZ'!$B$34</f>
        <v>299.30565152942381</v>
      </c>
      <c r="F46" s="51">
        <f t="shared" si="0"/>
        <v>325.25434847057613</v>
      </c>
      <c r="G46" s="54">
        <f t="shared" si="5"/>
        <v>9618.2934126570381</v>
      </c>
    </row>
    <row r="47" spans="2:7" x14ac:dyDescent="0.3">
      <c r="B47" s="47">
        <v>28</v>
      </c>
      <c r="C47" s="48">
        <f t="shared" si="2"/>
        <v>44222</v>
      </c>
      <c r="D47" s="49">
        <f t="shared" si="3"/>
        <v>624.55999999999995</v>
      </c>
      <c r="E47" s="51">
        <f>G46*'DADOS DO CONTRATO E CAPITALIZ'!$B$34</f>
        <v>289.51533654121232</v>
      </c>
      <c r="F47" s="51">
        <f t="shared" si="0"/>
        <v>335.04466345878762</v>
      </c>
      <c r="G47" s="54">
        <f t="shared" si="5"/>
        <v>9283.2487491982502</v>
      </c>
    </row>
    <row r="48" spans="2:7" x14ac:dyDescent="0.3">
      <c r="B48" s="47">
        <v>29</v>
      </c>
      <c r="C48" s="48">
        <f t="shared" si="2"/>
        <v>44253</v>
      </c>
      <c r="D48" s="49">
        <f t="shared" si="3"/>
        <v>624.55999999999995</v>
      </c>
      <c r="E48" s="51">
        <f>G47*'DADOS DO CONTRATO E CAPITALIZ'!$B$34</f>
        <v>279.43032828289057</v>
      </c>
      <c r="F48" s="51">
        <f t="shared" si="0"/>
        <v>345.12967171710937</v>
      </c>
      <c r="G48" s="54">
        <f t="shared" si="5"/>
        <v>8938.1190774811403</v>
      </c>
    </row>
    <row r="49" spans="2:7" x14ac:dyDescent="0.3">
      <c r="B49" s="47">
        <v>30</v>
      </c>
      <c r="C49" s="48">
        <f t="shared" si="2"/>
        <v>44281</v>
      </c>
      <c r="D49" s="49">
        <f t="shared" si="3"/>
        <v>624.55999999999995</v>
      </c>
      <c r="E49" s="51">
        <f>G48*'DADOS DO CONTRATO E CAPITALIZ'!$B$34</f>
        <v>269.04175634287793</v>
      </c>
      <c r="F49" s="51">
        <f t="shared" si="0"/>
        <v>355.51824365712201</v>
      </c>
      <c r="G49" s="54">
        <f t="shared" si="5"/>
        <v>8582.600833824019</v>
      </c>
    </row>
    <row r="50" spans="2:7" x14ac:dyDescent="0.3">
      <c r="B50" s="47">
        <v>31</v>
      </c>
      <c r="C50" s="48">
        <f t="shared" si="2"/>
        <v>44312</v>
      </c>
      <c r="D50" s="49">
        <f t="shared" si="3"/>
        <v>624.55999999999995</v>
      </c>
      <c r="E50" s="51">
        <f>G49*'DADOS DO CONTRATO E CAPITALIZ'!$B$34</f>
        <v>258.34048330586643</v>
      </c>
      <c r="F50" s="51">
        <f t="shared" si="0"/>
        <v>366.21951669413352</v>
      </c>
      <c r="G50" s="54">
        <f t="shared" si="5"/>
        <v>8216.3813171298862</v>
      </c>
    </row>
    <row r="51" spans="2:7" x14ac:dyDescent="0.3">
      <c r="B51" s="47">
        <v>32</v>
      </c>
      <c r="C51" s="48">
        <f t="shared" si="2"/>
        <v>44342</v>
      </c>
      <c r="D51" s="49">
        <f t="shared" si="3"/>
        <v>624.55999999999995</v>
      </c>
      <c r="E51" s="51">
        <f>G50*'DADOS DO CONTRATO E CAPITALIZ'!$B$34</f>
        <v>247.31709671587754</v>
      </c>
      <c r="F51" s="51">
        <f t="shared" si="0"/>
        <v>377.24290328412241</v>
      </c>
      <c r="G51" s="54">
        <f t="shared" si="5"/>
        <v>7839.1384138457634</v>
      </c>
    </row>
    <row r="52" spans="2:7" x14ac:dyDescent="0.3">
      <c r="B52" s="47">
        <v>33</v>
      </c>
      <c r="C52" s="48">
        <f t="shared" si="2"/>
        <v>44373</v>
      </c>
      <c r="D52" s="49">
        <f t="shared" si="3"/>
        <v>624.55999999999995</v>
      </c>
      <c r="E52" s="51">
        <f>G51*'DADOS DO CONTRATO E CAPITALIZ'!$B$34</f>
        <v>235.96190079740373</v>
      </c>
      <c r="F52" s="51">
        <f t="shared" si="0"/>
        <v>388.59809920259625</v>
      </c>
      <c r="G52" s="54">
        <f t="shared" si="5"/>
        <v>7450.5403146431672</v>
      </c>
    </row>
    <row r="53" spans="2:7" x14ac:dyDescent="0.3">
      <c r="B53" s="47">
        <v>34</v>
      </c>
      <c r="C53" s="48">
        <f t="shared" si="2"/>
        <v>44403</v>
      </c>
      <c r="D53" s="49">
        <f t="shared" si="3"/>
        <v>624.55999999999995</v>
      </c>
      <c r="E53" s="51">
        <f>G52*'DADOS DO CONTRATO E CAPITALIZ'!$B$34</f>
        <v>224.26490792735197</v>
      </c>
      <c r="F53" s="51">
        <f t="shared" si="0"/>
        <v>400.295092072648</v>
      </c>
      <c r="G53" s="54">
        <f t="shared" si="5"/>
        <v>7050.2452225705192</v>
      </c>
    </row>
    <row r="54" spans="2:7" x14ac:dyDescent="0.3">
      <c r="B54" s="47">
        <v>35</v>
      </c>
      <c r="C54" s="48">
        <f t="shared" si="2"/>
        <v>44434</v>
      </c>
      <c r="D54" s="49">
        <f t="shared" si="3"/>
        <v>624.55999999999995</v>
      </c>
      <c r="E54" s="51">
        <f>G53*'DADOS DO CONTRATO E CAPITALIZ'!$B$34</f>
        <v>212.21582985028869</v>
      </c>
      <c r="F54" s="51">
        <f t="shared" si="0"/>
        <v>412.34417014971126</v>
      </c>
      <c r="G54" s="54">
        <f t="shared" si="5"/>
        <v>6637.9010524208079</v>
      </c>
    </row>
    <row r="55" spans="2:7" x14ac:dyDescent="0.3">
      <c r="B55" s="52">
        <v>36</v>
      </c>
      <c r="C55" s="48">
        <f t="shared" si="2"/>
        <v>44465</v>
      </c>
      <c r="D55" s="49">
        <f t="shared" si="3"/>
        <v>624.55999999999995</v>
      </c>
      <c r="E55" s="51">
        <f>G54*'DADOS DO CONTRATO E CAPITALIZ'!$B$34</f>
        <v>199.80406862925912</v>
      </c>
      <c r="F55" s="51">
        <f t="shared" si="0"/>
        <v>424.75593137074083</v>
      </c>
      <c r="G55" s="54">
        <f t="shared" si="5"/>
        <v>6213.1451210500672</v>
      </c>
    </row>
    <row r="56" spans="2:7" x14ac:dyDescent="0.3">
      <c r="B56" s="47">
        <v>37</v>
      </c>
      <c r="C56" s="48">
        <f t="shared" si="2"/>
        <v>44495</v>
      </c>
      <c r="D56" s="49">
        <f t="shared" si="3"/>
        <v>624.55999999999995</v>
      </c>
      <c r="E56" s="51">
        <f>G55*'DADOS DO CONTRATO E CAPITALIZ'!$B$34</f>
        <v>187.01870732422228</v>
      </c>
      <c r="F56" s="51">
        <f t="shared" si="0"/>
        <v>437.54129267577764</v>
      </c>
      <c r="G56" s="54">
        <f t="shared" si="5"/>
        <v>5775.6038283742892</v>
      </c>
    </row>
    <row r="57" spans="2:7" x14ac:dyDescent="0.3">
      <c r="B57" s="47">
        <v>38</v>
      </c>
      <c r="C57" s="48">
        <f t="shared" si="2"/>
        <v>44526</v>
      </c>
      <c r="D57" s="49">
        <f t="shared" si="3"/>
        <v>624.55999999999995</v>
      </c>
      <c r="E57" s="51">
        <f>G56*'DADOS DO CONTRATO E CAPITALIZ'!$B$34</f>
        <v>173.84850038990177</v>
      </c>
      <c r="F57" s="51">
        <f t="shared" si="0"/>
        <v>450.71149961009814</v>
      </c>
      <c r="G57" s="54">
        <f t="shared" si="5"/>
        <v>5324.892328764191</v>
      </c>
    </row>
    <row r="58" spans="2:7" x14ac:dyDescent="0.3">
      <c r="B58" s="47">
        <v>39</v>
      </c>
      <c r="C58" s="48">
        <f t="shared" si="2"/>
        <v>44556</v>
      </c>
      <c r="D58" s="49">
        <f t="shared" si="3"/>
        <v>624.55999999999995</v>
      </c>
      <c r="E58" s="51">
        <f>G57*'DADOS DO CONTRATO E CAPITALIZ'!$B$34</f>
        <v>160.28186378460768</v>
      </c>
      <c r="F58" s="51">
        <f t="shared" si="0"/>
        <v>464.27813621539224</v>
      </c>
      <c r="G58" s="54">
        <f t="shared" ref="G58:G67" si="6">G57-F58</f>
        <v>4860.6141925487991</v>
      </c>
    </row>
    <row r="59" spans="2:7" x14ac:dyDescent="0.3">
      <c r="B59" s="52">
        <v>40</v>
      </c>
      <c r="C59" s="48">
        <f t="shared" si="2"/>
        <v>44587</v>
      </c>
      <c r="D59" s="49">
        <f t="shared" si="3"/>
        <v>624.55999999999995</v>
      </c>
      <c r="E59" s="51">
        <f>G58*'DADOS DO CONTRATO E CAPITALIZ'!$B$34</f>
        <v>146.30686478132878</v>
      </c>
      <c r="F59" s="51">
        <f t="shared" si="0"/>
        <v>478.25313521867116</v>
      </c>
      <c r="G59" s="54">
        <f t="shared" si="6"/>
        <v>4382.3610573301276</v>
      </c>
    </row>
    <row r="60" spans="2:7" x14ac:dyDescent="0.3">
      <c r="B60" s="47">
        <v>41</v>
      </c>
      <c r="C60" s="48">
        <f t="shared" si="2"/>
        <v>44618</v>
      </c>
      <c r="D60" s="49">
        <f t="shared" si="3"/>
        <v>624.55999999999995</v>
      </c>
      <c r="E60" s="51">
        <f>G59*'DADOS DO CONTRATO E CAPITALIZ'!$B$34</f>
        <v>131.91121147213391</v>
      </c>
      <c r="F60" s="51">
        <f t="shared" si="0"/>
        <v>492.64878852786603</v>
      </c>
      <c r="G60" s="54">
        <f t="shared" si="6"/>
        <v>3889.7122688022614</v>
      </c>
    </row>
    <row r="61" spans="2:7" x14ac:dyDescent="0.3">
      <c r="B61" s="47">
        <v>42</v>
      </c>
      <c r="C61" s="48">
        <f t="shared" si="2"/>
        <v>44646</v>
      </c>
      <c r="D61" s="49">
        <f t="shared" si="3"/>
        <v>624.55999999999995</v>
      </c>
      <c r="E61" s="51">
        <f>G60*'DADOS DO CONTRATO E CAPITALIZ'!$B$34</f>
        <v>117.08224195665053</v>
      </c>
      <c r="F61" s="51">
        <f t="shared" si="0"/>
        <v>507.47775804334941</v>
      </c>
      <c r="G61" s="54">
        <f t="shared" si="6"/>
        <v>3382.2345107589122</v>
      </c>
    </row>
    <row r="62" spans="2:7" x14ac:dyDescent="0.3">
      <c r="B62" s="47">
        <v>43</v>
      </c>
      <c r="C62" s="48">
        <f t="shared" si="2"/>
        <v>44677</v>
      </c>
      <c r="D62" s="49">
        <f t="shared" si="3"/>
        <v>624.55999999999995</v>
      </c>
      <c r="E62" s="51">
        <f>G61*'DADOS DO CONTRATO E CAPITALIZ'!$B$34</f>
        <v>101.80691320511133</v>
      </c>
      <c r="F62" s="51">
        <f t="shared" si="0"/>
        <v>522.75308679488865</v>
      </c>
      <c r="G62" s="54">
        <f t="shared" si="6"/>
        <v>2859.4814239640236</v>
      </c>
    </row>
    <row r="63" spans="2:7" x14ac:dyDescent="0.3">
      <c r="B63" s="52">
        <v>44</v>
      </c>
      <c r="C63" s="48">
        <f t="shared" si="2"/>
        <v>44707</v>
      </c>
      <c r="D63" s="49">
        <f t="shared" si="3"/>
        <v>624.55999999999995</v>
      </c>
      <c r="E63" s="51">
        <f>G62*'DADOS DO CONTRATO E CAPITALIZ'!$B$34</f>
        <v>86.071789586172898</v>
      </c>
      <c r="F63" s="51">
        <f t="shared" si="0"/>
        <v>538.48821041382701</v>
      </c>
      <c r="G63" s="54">
        <f t="shared" si="6"/>
        <v>2320.9932135501967</v>
      </c>
    </row>
    <row r="64" spans="2:7" x14ac:dyDescent="0.3">
      <c r="B64" s="47">
        <v>45</v>
      </c>
      <c r="C64" s="48">
        <f t="shared" si="2"/>
        <v>44738</v>
      </c>
      <c r="D64" s="49">
        <f t="shared" si="3"/>
        <v>624.55999999999995</v>
      </c>
      <c r="E64" s="51">
        <f>G63*'DADOS DO CONTRATO E CAPITALIZ'!$B$34</f>
        <v>69.863031049416321</v>
      </c>
      <c r="F64" s="51">
        <f t="shared" si="0"/>
        <v>554.6969689505836</v>
      </c>
      <c r="G64" s="54">
        <f t="shared" si="6"/>
        <v>1766.2962445996131</v>
      </c>
    </row>
    <row r="65" spans="2:7" x14ac:dyDescent="0.3">
      <c r="B65" s="47">
        <v>46</v>
      </c>
      <c r="C65" s="48">
        <f t="shared" si="2"/>
        <v>44768</v>
      </c>
      <c r="D65" s="49">
        <f t="shared" si="3"/>
        <v>624.55999999999995</v>
      </c>
      <c r="E65" s="51">
        <f>G64*'DADOS DO CONTRATO E CAPITALIZ'!$B$34</f>
        <v>53.166380952135185</v>
      </c>
      <c r="F65" s="51">
        <f t="shared" si="0"/>
        <v>571.39361904786472</v>
      </c>
      <c r="G65" s="54">
        <f t="shared" si="6"/>
        <v>1194.9026255517483</v>
      </c>
    </row>
    <row r="66" spans="2:7" x14ac:dyDescent="0.3">
      <c r="B66" s="47">
        <v>47</v>
      </c>
      <c r="C66" s="48">
        <f t="shared" si="2"/>
        <v>44799</v>
      </c>
      <c r="D66" s="49">
        <f t="shared" si="3"/>
        <v>624.55999999999995</v>
      </c>
      <c r="E66" s="51">
        <f>G65*'DADOS DO CONTRATO E CAPITALIZ'!$B$34</f>
        <v>35.96715351970392</v>
      </c>
      <c r="F66" s="51">
        <f t="shared" si="0"/>
        <v>588.59284648029598</v>
      </c>
      <c r="G66" s="54">
        <f t="shared" si="6"/>
        <v>606.30977907145234</v>
      </c>
    </row>
    <row r="67" spans="2:7" x14ac:dyDescent="0.3">
      <c r="B67" s="52">
        <v>48</v>
      </c>
      <c r="C67" s="48">
        <f t="shared" si="2"/>
        <v>44830</v>
      </c>
      <c r="D67" s="49">
        <f t="shared" si="3"/>
        <v>624.55999999999995</v>
      </c>
      <c r="E67" s="51">
        <f>G66*'DADOS DO CONTRATO E CAPITALIZ'!$B$34</f>
        <v>18.250220928497136</v>
      </c>
      <c r="F67" s="51">
        <f t="shared" si="0"/>
        <v>606.30977907150282</v>
      </c>
      <c r="G67" s="54">
        <f t="shared" si="6"/>
        <v>-5.0476955948397517E-11</v>
      </c>
    </row>
  </sheetData>
  <mergeCells count="11">
    <mergeCell ref="B17:G17"/>
    <mergeCell ref="E9:F9"/>
    <mergeCell ref="E11:F11"/>
    <mergeCell ref="E12:F12"/>
    <mergeCell ref="E13:F13"/>
    <mergeCell ref="E14:F14"/>
    <mergeCell ref="C3:G3"/>
    <mergeCell ref="C4:G4"/>
    <mergeCell ref="B1:G1"/>
    <mergeCell ref="E7:F7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7"/>
  <sheetViews>
    <sheetView topLeftCell="A9" zoomScale="160" zoomScaleNormal="160" workbookViewId="0">
      <selection activeCell="D20" sqref="D20"/>
    </sheetView>
  </sheetViews>
  <sheetFormatPr defaultRowHeight="14.4" x14ac:dyDescent="0.3"/>
  <cols>
    <col min="2" max="2" width="25.88671875" customWidth="1"/>
    <col min="3" max="3" width="14.33203125" style="12" bestFit="1" customWidth="1"/>
    <col min="4" max="4" width="16.109375" style="2" customWidth="1"/>
    <col min="5" max="5" width="13.33203125" style="4" bestFit="1" customWidth="1"/>
    <col min="6" max="6" width="15.5546875" style="4" customWidth="1"/>
    <col min="7" max="7" width="14.33203125" style="5" bestFit="1" customWidth="1"/>
  </cols>
  <sheetData>
    <row r="1" spans="2:7" ht="17.399999999999999" x14ac:dyDescent="0.35">
      <c r="B1" s="150" t="s">
        <v>51</v>
      </c>
      <c r="C1" s="150"/>
      <c r="D1" s="150"/>
      <c r="E1" s="150"/>
      <c r="F1" s="150"/>
      <c r="G1" s="150"/>
    </row>
    <row r="2" spans="2:7" ht="17.399999999999999" x14ac:dyDescent="0.35">
      <c r="B2" s="53"/>
      <c r="C2" s="53"/>
      <c r="D2" s="53"/>
      <c r="E2" s="53"/>
      <c r="F2" s="53"/>
      <c r="G2" s="53"/>
    </row>
    <row r="3" spans="2:7" x14ac:dyDescent="0.3">
      <c r="B3" s="15" t="s">
        <v>39</v>
      </c>
      <c r="C3" s="133" t="str">
        <f>'DADOS DO CONTRATO E CAPITALIZ'!C3</f>
        <v>XXXXXXXX</v>
      </c>
      <c r="D3" s="134"/>
      <c r="E3" s="134"/>
      <c r="F3" s="134"/>
      <c r="G3" s="135"/>
    </row>
    <row r="4" spans="2:7" x14ac:dyDescent="0.3">
      <c r="B4" s="17" t="s">
        <v>40</v>
      </c>
      <c r="C4" s="136" t="str">
        <f>'DADOS DO CONTRATO E CAPITALIZ'!C4</f>
        <v>SANTANDER</v>
      </c>
      <c r="D4" s="137"/>
      <c r="E4" s="137"/>
      <c r="F4" s="137"/>
      <c r="G4" s="138"/>
    </row>
    <row r="5" spans="2:7" x14ac:dyDescent="0.3">
      <c r="B5" s="18" t="s">
        <v>41</v>
      </c>
      <c r="C5" s="22" t="str">
        <f>'DADOS DO CONTRATO E CAPITALIZ'!C5</f>
        <v>0000</v>
      </c>
      <c r="D5" s="19"/>
      <c r="E5" s="20" t="s">
        <v>42</v>
      </c>
      <c r="F5" s="20"/>
      <c r="G5" s="23">
        <f>'DADOS DO CONTRATO E CAPITALIZ'!F4</f>
        <v>43369</v>
      </c>
    </row>
    <row r="6" spans="2:7" x14ac:dyDescent="0.3">
      <c r="B6" s="1"/>
      <c r="D6" s="14"/>
    </row>
    <row r="7" spans="2:7" x14ac:dyDescent="0.3">
      <c r="B7" s="31" t="s">
        <v>10</v>
      </c>
      <c r="C7" s="32">
        <f>'DADOS DO CONTRATO E CAPITALIZ'!C7</f>
        <v>13900</v>
      </c>
      <c r="D7" s="14"/>
      <c r="E7" s="142" t="s">
        <v>18</v>
      </c>
      <c r="F7" s="143"/>
      <c r="G7" s="32">
        <f>'DADOS DO CONTRATO E CAPITALIZ'!C17</f>
        <v>624.55999999999995</v>
      </c>
    </row>
    <row r="8" spans="2:7" x14ac:dyDescent="0.3">
      <c r="B8" s="33" t="str">
        <f>'DADOS DO CONTRATO E CAPITALIZ'!B8</f>
        <v>IOF financiado</v>
      </c>
      <c r="C8" s="34">
        <f>'DADOS DO CONTRATO E CAPITALIZ'!C8</f>
        <v>443.36</v>
      </c>
      <c r="D8" s="14"/>
      <c r="E8" s="144" t="s">
        <v>19</v>
      </c>
      <c r="F8" s="145"/>
      <c r="G8" s="41">
        <f>'DADOS DO CONTRATO E CAPITALIZ'!C18</f>
        <v>48</v>
      </c>
    </row>
    <row r="9" spans="2:7" x14ac:dyDescent="0.3">
      <c r="B9" s="33" t="str">
        <f>'DADOS DO CONTRATO E CAPITALIZ'!B9</f>
        <v>IOF adicional</v>
      </c>
      <c r="C9" s="34">
        <f>'DADOS DO CONTRATO E CAPITALIZ'!C9</f>
        <v>59.86</v>
      </c>
      <c r="D9" s="14"/>
      <c r="E9" s="147" t="s">
        <v>43</v>
      </c>
      <c r="F9" s="148"/>
      <c r="G9" s="42">
        <f>'DADOS DO CONTRATO E CAPITALIZ'!C19</f>
        <v>29978.879999999997</v>
      </c>
    </row>
    <row r="10" spans="2:7" x14ac:dyDescent="0.3">
      <c r="B10" s="33" t="str">
        <f>'DADOS DO CONTRATO E CAPITALIZ'!B10</f>
        <v>tarifa de avaliação</v>
      </c>
      <c r="C10" s="34"/>
      <c r="D10" s="14"/>
    </row>
    <row r="11" spans="2:7" x14ac:dyDescent="0.3">
      <c r="B11" s="33" t="str">
        <f>'DADOS DO CONTRATO E CAPITALIZ'!B11</f>
        <v>seguro</v>
      </c>
      <c r="C11" s="34"/>
      <c r="D11" s="14"/>
      <c r="E11" s="142" t="s">
        <v>52</v>
      </c>
      <c r="F11" s="143"/>
      <c r="G11" s="39">
        <v>1.6799999999999999E-2</v>
      </c>
    </row>
    <row r="12" spans="2:7" x14ac:dyDescent="0.3">
      <c r="B12" s="33" t="str">
        <f>'DADOS DO CONTRATO E CAPITALIZ'!B12</f>
        <v>registro no órgão de trânsito</v>
      </c>
      <c r="C12" s="34"/>
      <c r="D12" s="14"/>
      <c r="E12" s="147" t="s">
        <v>53</v>
      </c>
      <c r="F12" s="148"/>
      <c r="G12" s="40">
        <f>((1+G11)^12)-1</f>
        <v>0.22131151144473371</v>
      </c>
    </row>
    <row r="13" spans="2:7" x14ac:dyDescent="0.3">
      <c r="B13" s="33" t="str">
        <f>'DADOS DO CONTRATO E CAPITALIZ'!B13</f>
        <v>Outros:</v>
      </c>
      <c r="C13" s="34">
        <f>'DADOS DO CONTRATO E CAPITALIZ'!C13</f>
        <v>0</v>
      </c>
      <c r="D13" s="14"/>
      <c r="E13" s="142" t="s">
        <v>21</v>
      </c>
      <c r="F13" s="143"/>
      <c r="G13" s="39">
        <f>'tabela price_FINANCEIRA'!G11</f>
        <v>3.0099999999999998E-2</v>
      </c>
    </row>
    <row r="14" spans="2:7" x14ac:dyDescent="0.3">
      <c r="B14" s="35" t="s">
        <v>17</v>
      </c>
      <c r="C14" s="36">
        <f>SUM(C7:C13)</f>
        <v>14403.220000000001</v>
      </c>
      <c r="D14" s="14"/>
      <c r="E14" s="147" t="s">
        <v>22</v>
      </c>
      <c r="F14" s="148"/>
      <c r="G14" s="39">
        <f>'tabela price_FINANCEIRA'!G12</f>
        <v>0.42742285476297193</v>
      </c>
    </row>
    <row r="15" spans="2:7" x14ac:dyDescent="0.3">
      <c r="B15" s="37" t="s">
        <v>8</v>
      </c>
      <c r="C15" s="38">
        <f>'DADOS DO CONTRATO E CAPITALIZ'!F5</f>
        <v>43399</v>
      </c>
      <c r="D15" s="14"/>
    </row>
    <row r="17" spans="2:7" x14ac:dyDescent="0.3">
      <c r="B17" s="149" t="s">
        <v>44</v>
      </c>
      <c r="C17" s="149"/>
      <c r="D17" s="149"/>
      <c r="E17" s="149"/>
      <c r="F17" s="149"/>
      <c r="G17" s="149"/>
    </row>
    <row r="18" spans="2:7" s="4" customFormat="1" x14ac:dyDescent="0.3">
      <c r="B18" s="84" t="s">
        <v>45</v>
      </c>
      <c r="C18" s="85" t="s">
        <v>46</v>
      </c>
      <c r="D18" s="86" t="s">
        <v>47</v>
      </c>
      <c r="E18" s="84" t="s">
        <v>48</v>
      </c>
      <c r="F18" s="84" t="s">
        <v>49</v>
      </c>
      <c r="G18" s="86" t="s">
        <v>50</v>
      </c>
    </row>
    <row r="19" spans="2:7" x14ac:dyDescent="0.3">
      <c r="B19" s="84">
        <v>0</v>
      </c>
      <c r="C19" s="85">
        <f>'DADOS DO CONTRATO E CAPITALIZ'!F4</f>
        <v>43369</v>
      </c>
      <c r="D19" s="87"/>
      <c r="E19" s="84"/>
      <c r="F19" s="84"/>
      <c r="G19" s="86">
        <f>C14</f>
        <v>14403.220000000001</v>
      </c>
    </row>
    <row r="20" spans="2:7" x14ac:dyDescent="0.3">
      <c r="B20" s="84">
        <v>1</v>
      </c>
      <c r="C20" s="85">
        <f>C15</f>
        <v>43399</v>
      </c>
      <c r="D20" s="88">
        <f>PMT(G11,G8,-C14)</f>
        <v>439.52397465549143</v>
      </c>
      <c r="E20" s="89">
        <f>G19*G$11</f>
        <v>241.974096</v>
      </c>
      <c r="F20" s="89">
        <f>D20-E20</f>
        <v>197.54987865549143</v>
      </c>
      <c r="G20" s="86">
        <f>G19-F20</f>
        <v>14205.67012134451</v>
      </c>
    </row>
    <row r="21" spans="2:7" x14ac:dyDescent="0.3">
      <c r="B21" s="84">
        <v>2</v>
      </c>
      <c r="C21" s="85">
        <f>EDATE(C20,1)</f>
        <v>43430</v>
      </c>
      <c r="D21" s="88">
        <f>D20</f>
        <v>439.52397465549143</v>
      </c>
      <c r="E21" s="89">
        <f t="shared" ref="E21:E67" si="0">G20*G$11</f>
        <v>238.65525803858776</v>
      </c>
      <c r="F21" s="89">
        <f t="shared" ref="F21:F27" si="1">D21-E21</f>
        <v>200.86871661690367</v>
      </c>
      <c r="G21" s="86">
        <f t="shared" ref="G21:G27" si="2">G20-F21</f>
        <v>14004.801404727606</v>
      </c>
    </row>
    <row r="22" spans="2:7" x14ac:dyDescent="0.3">
      <c r="B22" s="84">
        <v>3</v>
      </c>
      <c r="C22" s="85">
        <f t="shared" ref="C22:C67" si="3">EDATE(C21,1)</f>
        <v>43460</v>
      </c>
      <c r="D22" s="88">
        <f t="shared" ref="D22:D67" si="4">D21</f>
        <v>439.52397465549143</v>
      </c>
      <c r="E22" s="89">
        <f t="shared" si="0"/>
        <v>235.28066359942378</v>
      </c>
      <c r="F22" s="89">
        <f t="shared" si="1"/>
        <v>204.24331105606765</v>
      </c>
      <c r="G22" s="86">
        <f t="shared" si="2"/>
        <v>13800.55809367154</v>
      </c>
    </row>
    <row r="23" spans="2:7" x14ac:dyDescent="0.3">
      <c r="B23" s="84">
        <v>4</v>
      </c>
      <c r="C23" s="85">
        <f t="shared" si="3"/>
        <v>43491</v>
      </c>
      <c r="D23" s="88">
        <f t="shared" si="4"/>
        <v>439.52397465549143</v>
      </c>
      <c r="E23" s="89">
        <f t="shared" si="0"/>
        <v>231.84937597368184</v>
      </c>
      <c r="F23" s="89">
        <f t="shared" si="1"/>
        <v>207.67459868180958</v>
      </c>
      <c r="G23" s="86">
        <f t="shared" si="2"/>
        <v>13592.88349498973</v>
      </c>
    </row>
    <row r="24" spans="2:7" x14ac:dyDescent="0.3">
      <c r="B24" s="84">
        <v>5</v>
      </c>
      <c r="C24" s="85">
        <f t="shared" si="3"/>
        <v>43522</v>
      </c>
      <c r="D24" s="88">
        <f t="shared" si="4"/>
        <v>439.52397465549143</v>
      </c>
      <c r="E24" s="89">
        <f t="shared" si="0"/>
        <v>228.36044271582745</v>
      </c>
      <c r="F24" s="89">
        <f t="shared" si="1"/>
        <v>211.16353193966398</v>
      </c>
      <c r="G24" s="86">
        <f t="shared" si="2"/>
        <v>13381.719963050065</v>
      </c>
    </row>
    <row r="25" spans="2:7" x14ac:dyDescent="0.3">
      <c r="B25" s="84">
        <v>6</v>
      </c>
      <c r="C25" s="85">
        <f t="shared" si="3"/>
        <v>43550</v>
      </c>
      <c r="D25" s="88">
        <f t="shared" si="4"/>
        <v>439.52397465549143</v>
      </c>
      <c r="E25" s="89">
        <f t="shared" si="0"/>
        <v>224.8128953792411</v>
      </c>
      <c r="F25" s="89">
        <f t="shared" si="1"/>
        <v>214.71107927625033</v>
      </c>
      <c r="G25" s="86">
        <f t="shared" si="2"/>
        <v>13167.008883773815</v>
      </c>
    </row>
    <row r="26" spans="2:7" x14ac:dyDescent="0.3">
      <c r="B26" s="84">
        <v>7</v>
      </c>
      <c r="C26" s="85">
        <f t="shared" si="3"/>
        <v>43581</v>
      </c>
      <c r="D26" s="88">
        <f t="shared" si="4"/>
        <v>439.52397465549143</v>
      </c>
      <c r="E26" s="89">
        <f t="shared" si="0"/>
        <v>221.20574924740006</v>
      </c>
      <c r="F26" s="89">
        <f t="shared" si="1"/>
        <v>218.31822540809137</v>
      </c>
      <c r="G26" s="86">
        <f t="shared" si="2"/>
        <v>12948.690658365724</v>
      </c>
    </row>
    <row r="27" spans="2:7" x14ac:dyDescent="0.3">
      <c r="B27" s="84">
        <v>8</v>
      </c>
      <c r="C27" s="85">
        <f t="shared" si="3"/>
        <v>43611</v>
      </c>
      <c r="D27" s="88">
        <f t="shared" si="4"/>
        <v>439.52397465549143</v>
      </c>
      <c r="E27" s="89">
        <f t="shared" si="0"/>
        <v>217.53800306054416</v>
      </c>
      <c r="F27" s="89">
        <f t="shared" si="1"/>
        <v>221.98597159494727</v>
      </c>
      <c r="G27" s="86">
        <f t="shared" si="2"/>
        <v>12726.704686770776</v>
      </c>
    </row>
    <row r="28" spans="2:7" x14ac:dyDescent="0.3">
      <c r="B28" s="84">
        <v>9</v>
      </c>
      <c r="C28" s="85">
        <f t="shared" si="3"/>
        <v>43642</v>
      </c>
      <c r="D28" s="88">
        <f t="shared" si="4"/>
        <v>439.52397465549143</v>
      </c>
      <c r="E28" s="89">
        <f t="shared" si="0"/>
        <v>213.80863873774902</v>
      </c>
      <c r="F28" s="89">
        <f>D28-E28</f>
        <v>225.71533591774241</v>
      </c>
      <c r="G28" s="86">
        <f>G27-F28</f>
        <v>12500.989350853033</v>
      </c>
    </row>
    <row r="29" spans="2:7" x14ac:dyDescent="0.3">
      <c r="B29" s="84">
        <v>10</v>
      </c>
      <c r="C29" s="85">
        <f t="shared" si="3"/>
        <v>43672</v>
      </c>
      <c r="D29" s="88">
        <f t="shared" si="4"/>
        <v>439.52397465549143</v>
      </c>
      <c r="E29" s="89">
        <f t="shared" si="0"/>
        <v>210.01662109433093</v>
      </c>
      <c r="F29" s="89">
        <f>D29-E29</f>
        <v>229.5073535611605</v>
      </c>
      <c r="G29" s="90">
        <f>G28-F29</f>
        <v>12271.481997291872</v>
      </c>
    </row>
    <row r="30" spans="2:7" x14ac:dyDescent="0.3">
      <c r="B30" s="84">
        <v>11</v>
      </c>
      <c r="C30" s="85">
        <f t="shared" si="3"/>
        <v>43703</v>
      </c>
      <c r="D30" s="88">
        <f t="shared" si="4"/>
        <v>439.52397465549143</v>
      </c>
      <c r="E30" s="89">
        <f t="shared" si="0"/>
        <v>206.16089755450344</v>
      </c>
      <c r="F30" s="89">
        <f>D30-E30</f>
        <v>233.36307710098799</v>
      </c>
      <c r="G30" s="86">
        <f>G29-F30</f>
        <v>12038.118920190884</v>
      </c>
    </row>
    <row r="31" spans="2:7" x14ac:dyDescent="0.3">
      <c r="B31" s="84">
        <v>12</v>
      </c>
      <c r="C31" s="85">
        <f t="shared" si="3"/>
        <v>43734</v>
      </c>
      <c r="D31" s="88">
        <f t="shared" si="4"/>
        <v>439.52397465549143</v>
      </c>
      <c r="E31" s="89">
        <f t="shared" si="0"/>
        <v>202.24039785920684</v>
      </c>
      <c r="F31" s="89">
        <f>D31-E31</f>
        <v>237.28357679628459</v>
      </c>
      <c r="G31" s="91">
        <f>G30-F31</f>
        <v>11800.835343394599</v>
      </c>
    </row>
    <row r="32" spans="2:7" x14ac:dyDescent="0.3">
      <c r="B32" s="84">
        <v>13</v>
      </c>
      <c r="C32" s="85">
        <f t="shared" si="3"/>
        <v>43764</v>
      </c>
      <c r="D32" s="88">
        <f t="shared" si="4"/>
        <v>439.52397465549143</v>
      </c>
      <c r="E32" s="89">
        <f t="shared" si="0"/>
        <v>198.25403376902926</v>
      </c>
      <c r="F32" s="89">
        <f t="shared" ref="F32:F67" si="5">D32-E32</f>
        <v>241.26994088646217</v>
      </c>
      <c r="G32" s="91">
        <f t="shared" ref="G32:G67" si="6">G31-F32</f>
        <v>11559.565402508137</v>
      </c>
    </row>
    <row r="33" spans="2:7" x14ac:dyDescent="0.3">
      <c r="B33" s="84">
        <v>14</v>
      </c>
      <c r="C33" s="85">
        <f t="shared" si="3"/>
        <v>43795</v>
      </c>
      <c r="D33" s="88">
        <f t="shared" si="4"/>
        <v>439.52397465549143</v>
      </c>
      <c r="E33" s="89">
        <f t="shared" si="0"/>
        <v>194.20069876213668</v>
      </c>
      <c r="F33" s="89">
        <f t="shared" si="5"/>
        <v>245.32327589335475</v>
      </c>
      <c r="G33" s="91">
        <f t="shared" si="6"/>
        <v>11314.242126614781</v>
      </c>
    </row>
    <row r="34" spans="2:7" x14ac:dyDescent="0.3">
      <c r="B34" s="84">
        <v>15</v>
      </c>
      <c r="C34" s="85">
        <f t="shared" si="3"/>
        <v>43825</v>
      </c>
      <c r="D34" s="88">
        <f t="shared" si="4"/>
        <v>439.52397465549143</v>
      </c>
      <c r="E34" s="89">
        <f t="shared" si="0"/>
        <v>190.07926772712833</v>
      </c>
      <c r="F34" s="89">
        <f t="shared" si="5"/>
        <v>249.4447069283631</v>
      </c>
      <c r="G34" s="91">
        <f t="shared" si="6"/>
        <v>11064.797419686418</v>
      </c>
    </row>
    <row r="35" spans="2:7" x14ac:dyDescent="0.3">
      <c r="B35" s="84">
        <v>16</v>
      </c>
      <c r="C35" s="85">
        <f t="shared" si="3"/>
        <v>43856</v>
      </c>
      <c r="D35" s="88">
        <f t="shared" si="4"/>
        <v>439.52397465549143</v>
      </c>
      <c r="E35" s="89">
        <f t="shared" si="0"/>
        <v>185.88859665073181</v>
      </c>
      <c r="F35" s="89">
        <f t="shared" si="5"/>
        <v>253.63537800475962</v>
      </c>
      <c r="G35" s="91">
        <f t="shared" si="6"/>
        <v>10811.162041681659</v>
      </c>
    </row>
    <row r="36" spans="2:7" x14ac:dyDescent="0.3">
      <c r="B36" s="84">
        <v>17</v>
      </c>
      <c r="C36" s="85">
        <f t="shared" si="3"/>
        <v>43887</v>
      </c>
      <c r="D36" s="88">
        <f t="shared" si="4"/>
        <v>439.52397465549143</v>
      </c>
      <c r="E36" s="89">
        <f t="shared" si="0"/>
        <v>181.62752230025185</v>
      </c>
      <c r="F36" s="89">
        <f t="shared" si="5"/>
        <v>257.8964523552396</v>
      </c>
      <c r="G36" s="91">
        <f t="shared" si="6"/>
        <v>10553.265589326418</v>
      </c>
    </row>
    <row r="37" spans="2:7" x14ac:dyDescent="0.3">
      <c r="B37" s="84">
        <v>18</v>
      </c>
      <c r="C37" s="85">
        <f t="shared" si="3"/>
        <v>43916</v>
      </c>
      <c r="D37" s="88">
        <f t="shared" si="4"/>
        <v>439.52397465549143</v>
      </c>
      <c r="E37" s="89">
        <f t="shared" si="0"/>
        <v>177.29486190068383</v>
      </c>
      <c r="F37" s="89">
        <f t="shared" si="5"/>
        <v>262.2291127548076</v>
      </c>
      <c r="G37" s="91">
        <f t="shared" si="6"/>
        <v>10291.036476571611</v>
      </c>
    </row>
    <row r="38" spans="2:7" x14ac:dyDescent="0.3">
      <c r="B38" s="84">
        <v>19</v>
      </c>
      <c r="C38" s="85">
        <f t="shared" si="3"/>
        <v>43947</v>
      </c>
      <c r="D38" s="88">
        <f t="shared" si="4"/>
        <v>439.52397465549143</v>
      </c>
      <c r="E38" s="89">
        <f t="shared" si="0"/>
        <v>172.88941280640307</v>
      </c>
      <c r="F38" s="89">
        <f t="shared" si="5"/>
        <v>266.63456184908836</v>
      </c>
      <c r="G38" s="91">
        <f t="shared" si="6"/>
        <v>10024.401914722523</v>
      </c>
    </row>
    <row r="39" spans="2:7" x14ac:dyDescent="0.3">
      <c r="B39" s="84">
        <v>20</v>
      </c>
      <c r="C39" s="85">
        <f t="shared" si="3"/>
        <v>43977</v>
      </c>
      <c r="D39" s="88">
        <f t="shared" si="4"/>
        <v>439.52397465549143</v>
      </c>
      <c r="E39" s="89">
        <f t="shared" si="0"/>
        <v>168.40995216733836</v>
      </c>
      <c r="F39" s="89">
        <f t="shared" si="5"/>
        <v>271.11402248815307</v>
      </c>
      <c r="G39" s="91">
        <f t="shared" si="6"/>
        <v>9753.2878922343698</v>
      </c>
    </row>
    <row r="40" spans="2:7" x14ac:dyDescent="0.3">
      <c r="B40" s="84">
        <v>21</v>
      </c>
      <c r="C40" s="85">
        <f t="shared" si="3"/>
        <v>44008</v>
      </c>
      <c r="D40" s="88">
        <f t="shared" si="4"/>
        <v>439.52397465549143</v>
      </c>
      <c r="E40" s="89">
        <f t="shared" si="0"/>
        <v>163.85523658953741</v>
      </c>
      <c r="F40" s="89">
        <f t="shared" si="5"/>
        <v>275.66873806595402</v>
      </c>
      <c r="G40" s="91">
        <f t="shared" si="6"/>
        <v>9477.6191541684166</v>
      </c>
    </row>
    <row r="41" spans="2:7" x14ac:dyDescent="0.3">
      <c r="B41" s="84">
        <v>22</v>
      </c>
      <c r="C41" s="85">
        <f t="shared" si="3"/>
        <v>44038</v>
      </c>
      <c r="D41" s="88">
        <f t="shared" si="4"/>
        <v>439.52397465549143</v>
      </c>
      <c r="E41" s="89">
        <f t="shared" si="0"/>
        <v>159.22400179002938</v>
      </c>
      <c r="F41" s="89">
        <f t="shared" si="5"/>
        <v>280.29997286546205</v>
      </c>
      <c r="G41" s="91">
        <f t="shared" si="6"/>
        <v>9197.3191813029553</v>
      </c>
    </row>
    <row r="42" spans="2:7" x14ac:dyDescent="0.3">
      <c r="B42" s="84">
        <v>23</v>
      </c>
      <c r="C42" s="85">
        <f t="shared" si="3"/>
        <v>44069</v>
      </c>
      <c r="D42" s="88">
        <f t="shared" si="4"/>
        <v>439.52397465549143</v>
      </c>
      <c r="E42" s="89">
        <f t="shared" si="0"/>
        <v>154.51496224588965</v>
      </c>
      <c r="F42" s="89">
        <f t="shared" si="5"/>
        <v>285.00901240960178</v>
      </c>
      <c r="G42" s="91">
        <f t="shared" si="6"/>
        <v>8912.310168893353</v>
      </c>
    </row>
    <row r="43" spans="2:7" x14ac:dyDescent="0.3">
      <c r="B43" s="84">
        <v>24</v>
      </c>
      <c r="C43" s="85">
        <f t="shared" si="3"/>
        <v>44100</v>
      </c>
      <c r="D43" s="88">
        <f t="shared" si="4"/>
        <v>439.52397465549143</v>
      </c>
      <c r="E43" s="89">
        <f t="shared" si="0"/>
        <v>149.72681083740832</v>
      </c>
      <c r="F43" s="89">
        <f t="shared" si="5"/>
        <v>289.79716381808311</v>
      </c>
      <c r="G43" s="91">
        <f t="shared" si="6"/>
        <v>8622.5130050752705</v>
      </c>
    </row>
    <row r="44" spans="2:7" x14ac:dyDescent="0.3">
      <c r="B44" s="84">
        <v>25</v>
      </c>
      <c r="C44" s="85">
        <f t="shared" si="3"/>
        <v>44130</v>
      </c>
      <c r="D44" s="88">
        <f t="shared" si="4"/>
        <v>439.52397465549143</v>
      </c>
      <c r="E44" s="89">
        <f t="shared" si="0"/>
        <v>144.85821848526453</v>
      </c>
      <c r="F44" s="89">
        <f t="shared" si="5"/>
        <v>294.66575617022693</v>
      </c>
      <c r="G44" s="91">
        <f t="shared" si="6"/>
        <v>8327.8472489050437</v>
      </c>
    </row>
    <row r="45" spans="2:7" x14ac:dyDescent="0.3">
      <c r="B45" s="84">
        <v>26</v>
      </c>
      <c r="C45" s="85">
        <f t="shared" si="3"/>
        <v>44161</v>
      </c>
      <c r="D45" s="88">
        <f t="shared" si="4"/>
        <v>439.52397465549143</v>
      </c>
      <c r="E45" s="89">
        <f t="shared" si="0"/>
        <v>139.90783378160472</v>
      </c>
      <c r="F45" s="89">
        <f t="shared" si="5"/>
        <v>299.61614087388671</v>
      </c>
      <c r="G45" s="91">
        <f t="shared" si="6"/>
        <v>8028.2311080311574</v>
      </c>
    </row>
    <row r="46" spans="2:7" x14ac:dyDescent="0.3">
      <c r="B46" s="84">
        <v>27</v>
      </c>
      <c r="C46" s="85">
        <f t="shared" si="3"/>
        <v>44191</v>
      </c>
      <c r="D46" s="88">
        <f t="shared" si="4"/>
        <v>439.52397465549143</v>
      </c>
      <c r="E46" s="89">
        <f t="shared" si="0"/>
        <v>134.87428261492343</v>
      </c>
      <c r="F46" s="89">
        <f t="shared" si="5"/>
        <v>304.64969204056797</v>
      </c>
      <c r="G46" s="91">
        <f t="shared" si="6"/>
        <v>7723.5814159905894</v>
      </c>
    </row>
    <row r="47" spans="2:7" x14ac:dyDescent="0.3">
      <c r="B47" s="84">
        <v>28</v>
      </c>
      <c r="C47" s="85">
        <f t="shared" si="3"/>
        <v>44222</v>
      </c>
      <c r="D47" s="88">
        <f t="shared" si="4"/>
        <v>439.52397465549143</v>
      </c>
      <c r="E47" s="89">
        <f t="shared" si="0"/>
        <v>129.7561677886419</v>
      </c>
      <c r="F47" s="89">
        <f t="shared" si="5"/>
        <v>309.76780686684953</v>
      </c>
      <c r="G47" s="91">
        <f t="shared" si="6"/>
        <v>7413.8136091237402</v>
      </c>
    </row>
    <row r="48" spans="2:7" x14ac:dyDescent="0.3">
      <c r="B48" s="84">
        <v>29</v>
      </c>
      <c r="C48" s="85">
        <f t="shared" si="3"/>
        <v>44253</v>
      </c>
      <c r="D48" s="88">
        <f t="shared" si="4"/>
        <v>439.52397465549143</v>
      </c>
      <c r="E48" s="89">
        <f t="shared" si="0"/>
        <v>124.55206863327882</v>
      </c>
      <c r="F48" s="89">
        <f t="shared" si="5"/>
        <v>314.97190602221258</v>
      </c>
      <c r="G48" s="91">
        <f t="shared" si="6"/>
        <v>7098.8417031015279</v>
      </c>
    </row>
    <row r="49" spans="2:7" x14ac:dyDescent="0.3">
      <c r="B49" s="84">
        <v>30</v>
      </c>
      <c r="C49" s="85">
        <f t="shared" si="3"/>
        <v>44281</v>
      </c>
      <c r="D49" s="88">
        <f t="shared" si="4"/>
        <v>439.52397465549143</v>
      </c>
      <c r="E49" s="89">
        <f t="shared" si="0"/>
        <v>119.26054061210566</v>
      </c>
      <c r="F49" s="89">
        <f t="shared" si="5"/>
        <v>320.26343404338576</v>
      </c>
      <c r="G49" s="91">
        <f t="shared" si="6"/>
        <v>6778.5782690581418</v>
      </c>
    </row>
    <row r="50" spans="2:7" x14ac:dyDescent="0.3">
      <c r="B50" s="84">
        <v>31</v>
      </c>
      <c r="C50" s="85">
        <f t="shared" si="3"/>
        <v>44312</v>
      </c>
      <c r="D50" s="88">
        <f t="shared" si="4"/>
        <v>439.52397465549143</v>
      </c>
      <c r="E50" s="89">
        <f t="shared" si="0"/>
        <v>113.88011492017678</v>
      </c>
      <c r="F50" s="89">
        <f t="shared" si="5"/>
        <v>325.64385973531466</v>
      </c>
      <c r="G50" s="91">
        <f t="shared" si="6"/>
        <v>6452.9344093228274</v>
      </c>
    </row>
    <row r="51" spans="2:7" x14ac:dyDescent="0.3">
      <c r="B51" s="84">
        <v>32</v>
      </c>
      <c r="C51" s="85">
        <f t="shared" si="3"/>
        <v>44342</v>
      </c>
      <c r="D51" s="88">
        <f t="shared" si="4"/>
        <v>439.52397465549143</v>
      </c>
      <c r="E51" s="89">
        <f t="shared" si="0"/>
        <v>108.4092980766235</v>
      </c>
      <c r="F51" s="89">
        <f t="shared" si="5"/>
        <v>331.11467657886794</v>
      </c>
      <c r="G51" s="91">
        <f t="shared" si="6"/>
        <v>6121.8197327439593</v>
      </c>
    </row>
    <row r="52" spans="2:7" x14ac:dyDescent="0.3">
      <c r="B52" s="84">
        <v>33</v>
      </c>
      <c r="C52" s="85">
        <f t="shared" si="3"/>
        <v>44373</v>
      </c>
      <c r="D52" s="88">
        <f t="shared" si="4"/>
        <v>439.52397465549143</v>
      </c>
      <c r="E52" s="89">
        <f t="shared" si="0"/>
        <v>102.84657151009851</v>
      </c>
      <c r="F52" s="89">
        <f t="shared" si="5"/>
        <v>336.67740314539293</v>
      </c>
      <c r="G52" s="91">
        <f t="shared" si="6"/>
        <v>5785.142329598566</v>
      </c>
    </row>
    <row r="53" spans="2:7" x14ac:dyDescent="0.3">
      <c r="B53" s="84">
        <v>34</v>
      </c>
      <c r="C53" s="85">
        <f t="shared" si="3"/>
        <v>44403</v>
      </c>
      <c r="D53" s="88">
        <f t="shared" si="4"/>
        <v>439.52397465549143</v>
      </c>
      <c r="E53" s="89">
        <f t="shared" si="0"/>
        <v>97.190391137255901</v>
      </c>
      <c r="F53" s="89">
        <f t="shared" si="5"/>
        <v>342.33358351823551</v>
      </c>
      <c r="G53" s="91">
        <f t="shared" si="6"/>
        <v>5442.8087460803308</v>
      </c>
    </row>
    <row r="54" spans="2:7" x14ac:dyDescent="0.3">
      <c r="B54" s="84">
        <v>35</v>
      </c>
      <c r="C54" s="85">
        <f t="shared" si="3"/>
        <v>44434</v>
      </c>
      <c r="D54" s="88">
        <f t="shared" si="4"/>
        <v>439.52397465549143</v>
      </c>
      <c r="E54" s="89">
        <f t="shared" si="0"/>
        <v>91.439186934149546</v>
      </c>
      <c r="F54" s="89">
        <f t="shared" si="5"/>
        <v>348.08478772134185</v>
      </c>
      <c r="G54" s="91">
        <f t="shared" si="6"/>
        <v>5094.723958358989</v>
      </c>
    </row>
    <row r="55" spans="2:7" x14ac:dyDescent="0.3">
      <c r="B55" s="84">
        <v>36</v>
      </c>
      <c r="C55" s="85">
        <f t="shared" si="3"/>
        <v>44465</v>
      </c>
      <c r="D55" s="88">
        <f t="shared" si="4"/>
        <v>439.52397465549143</v>
      </c>
      <c r="E55" s="89">
        <f t="shared" si="0"/>
        <v>85.591362500431003</v>
      </c>
      <c r="F55" s="89">
        <f t="shared" si="5"/>
        <v>353.93261215506044</v>
      </c>
      <c r="G55" s="91">
        <f t="shared" si="6"/>
        <v>4740.7913462039287</v>
      </c>
    </row>
    <row r="56" spans="2:7" x14ac:dyDescent="0.3">
      <c r="B56" s="84">
        <v>37</v>
      </c>
      <c r="C56" s="85">
        <f t="shared" si="3"/>
        <v>44495</v>
      </c>
      <c r="D56" s="88">
        <f t="shared" si="4"/>
        <v>439.52397465549143</v>
      </c>
      <c r="E56" s="89">
        <f t="shared" si="0"/>
        <v>79.645294616225996</v>
      </c>
      <c r="F56" s="89">
        <f t="shared" si="5"/>
        <v>359.87868003926542</v>
      </c>
      <c r="G56" s="91">
        <f t="shared" si="6"/>
        <v>4380.9126661646633</v>
      </c>
    </row>
    <row r="57" spans="2:7" x14ac:dyDescent="0.3">
      <c r="B57" s="84">
        <v>38</v>
      </c>
      <c r="C57" s="85">
        <f t="shared" si="3"/>
        <v>44526</v>
      </c>
      <c r="D57" s="88">
        <f t="shared" si="4"/>
        <v>439.52397465549143</v>
      </c>
      <c r="E57" s="89">
        <f t="shared" si="0"/>
        <v>73.59933279156634</v>
      </c>
      <c r="F57" s="89">
        <f t="shared" si="5"/>
        <v>365.9246418639251</v>
      </c>
      <c r="G57" s="91">
        <f t="shared" si="6"/>
        <v>4014.9880243007383</v>
      </c>
    </row>
    <row r="58" spans="2:7" x14ac:dyDescent="0.3">
      <c r="B58" s="84">
        <v>39</v>
      </c>
      <c r="C58" s="85">
        <f t="shared" si="3"/>
        <v>44556</v>
      </c>
      <c r="D58" s="88">
        <f t="shared" si="4"/>
        <v>439.52397465549143</v>
      </c>
      <c r="E58" s="89">
        <f t="shared" si="0"/>
        <v>67.451798808252406</v>
      </c>
      <c r="F58" s="89">
        <f t="shared" si="5"/>
        <v>372.07217584723901</v>
      </c>
      <c r="G58" s="91">
        <f t="shared" si="6"/>
        <v>3642.9158484534992</v>
      </c>
    </row>
    <row r="59" spans="2:7" x14ac:dyDescent="0.3">
      <c r="B59" s="84">
        <v>40</v>
      </c>
      <c r="C59" s="85">
        <f t="shared" si="3"/>
        <v>44587</v>
      </c>
      <c r="D59" s="88">
        <f t="shared" si="4"/>
        <v>439.52397465549143</v>
      </c>
      <c r="E59" s="89">
        <f t="shared" si="0"/>
        <v>61.20098625401878</v>
      </c>
      <c r="F59" s="89">
        <f t="shared" si="5"/>
        <v>378.32298840147263</v>
      </c>
      <c r="G59" s="91">
        <f t="shared" si="6"/>
        <v>3264.5928600520265</v>
      </c>
    </row>
    <row r="60" spans="2:7" x14ac:dyDescent="0.3">
      <c r="B60" s="84">
        <v>41</v>
      </c>
      <c r="C60" s="85">
        <f t="shared" si="3"/>
        <v>44618</v>
      </c>
      <c r="D60" s="88">
        <f t="shared" si="4"/>
        <v>439.52397465549143</v>
      </c>
      <c r="E60" s="89">
        <f t="shared" si="0"/>
        <v>54.845160048874043</v>
      </c>
      <c r="F60" s="89">
        <f t="shared" si="5"/>
        <v>384.67881460661738</v>
      </c>
      <c r="G60" s="91">
        <f t="shared" si="6"/>
        <v>2879.9140454454091</v>
      </c>
    </row>
    <row r="61" spans="2:7" x14ac:dyDescent="0.3">
      <c r="B61" s="84">
        <v>42</v>
      </c>
      <c r="C61" s="85">
        <f t="shared" si="3"/>
        <v>44646</v>
      </c>
      <c r="D61" s="88">
        <f t="shared" si="4"/>
        <v>439.52397465549143</v>
      </c>
      <c r="E61" s="89">
        <f t="shared" si="0"/>
        <v>48.382555963482872</v>
      </c>
      <c r="F61" s="89">
        <f t="shared" si="5"/>
        <v>391.14141869200853</v>
      </c>
      <c r="G61" s="91">
        <f t="shared" si="6"/>
        <v>2488.7726267534008</v>
      </c>
    </row>
    <row r="62" spans="2:7" x14ac:dyDescent="0.3">
      <c r="B62" s="84">
        <v>43</v>
      </c>
      <c r="C62" s="85">
        <f t="shared" si="3"/>
        <v>44677</v>
      </c>
      <c r="D62" s="88">
        <f t="shared" si="4"/>
        <v>439.52397465549143</v>
      </c>
      <c r="E62" s="89">
        <f t="shared" si="0"/>
        <v>41.811380129457127</v>
      </c>
      <c r="F62" s="89">
        <f t="shared" si="5"/>
        <v>397.71259452603431</v>
      </c>
      <c r="G62" s="91">
        <f t="shared" si="6"/>
        <v>2091.0600322273667</v>
      </c>
    </row>
    <row r="63" spans="2:7" x14ac:dyDescent="0.3">
      <c r="B63" s="84">
        <v>44</v>
      </c>
      <c r="C63" s="85">
        <f t="shared" si="3"/>
        <v>44707</v>
      </c>
      <c r="D63" s="88">
        <f t="shared" si="4"/>
        <v>439.52397465549143</v>
      </c>
      <c r="E63" s="89">
        <f t="shared" si="0"/>
        <v>35.129808541419756</v>
      </c>
      <c r="F63" s="89">
        <f t="shared" si="5"/>
        <v>404.39416611407165</v>
      </c>
      <c r="G63" s="91">
        <f t="shared" si="6"/>
        <v>1686.6658661132951</v>
      </c>
    </row>
    <row r="64" spans="2:7" x14ac:dyDescent="0.3">
      <c r="B64" s="84">
        <v>45</v>
      </c>
      <c r="C64" s="85">
        <f t="shared" si="3"/>
        <v>44738</v>
      </c>
      <c r="D64" s="88">
        <f t="shared" si="4"/>
        <v>439.52397465549143</v>
      </c>
      <c r="E64" s="89">
        <f t="shared" si="0"/>
        <v>28.335986550703357</v>
      </c>
      <c r="F64" s="89">
        <f t="shared" si="5"/>
        <v>411.18798810478808</v>
      </c>
      <c r="G64" s="91">
        <f t="shared" si="6"/>
        <v>1275.4778780085071</v>
      </c>
    </row>
    <row r="65" spans="2:7" x14ac:dyDescent="0.3">
      <c r="B65" s="84">
        <v>46</v>
      </c>
      <c r="C65" s="85">
        <f t="shared" si="3"/>
        <v>44768</v>
      </c>
      <c r="D65" s="88">
        <f t="shared" si="4"/>
        <v>439.52397465549143</v>
      </c>
      <c r="E65" s="89">
        <f t="shared" si="0"/>
        <v>21.428028350542917</v>
      </c>
      <c r="F65" s="89">
        <f t="shared" si="5"/>
        <v>418.09594630494848</v>
      </c>
      <c r="G65" s="91">
        <f t="shared" si="6"/>
        <v>857.38193170355862</v>
      </c>
    </row>
    <row r="66" spans="2:7" x14ac:dyDescent="0.3">
      <c r="B66" s="84">
        <v>47</v>
      </c>
      <c r="C66" s="85">
        <f t="shared" si="3"/>
        <v>44799</v>
      </c>
      <c r="D66" s="88">
        <f t="shared" si="4"/>
        <v>439.52397465549143</v>
      </c>
      <c r="E66" s="89">
        <f t="shared" si="0"/>
        <v>14.404016452619784</v>
      </c>
      <c r="F66" s="89">
        <f t="shared" si="5"/>
        <v>425.11995820287166</v>
      </c>
      <c r="G66" s="91">
        <f t="shared" si="6"/>
        <v>432.26197350068696</v>
      </c>
    </row>
    <row r="67" spans="2:7" x14ac:dyDescent="0.3">
      <c r="B67" s="84">
        <v>48</v>
      </c>
      <c r="C67" s="85">
        <f t="shared" si="3"/>
        <v>44830</v>
      </c>
      <c r="D67" s="88">
        <f t="shared" si="4"/>
        <v>439.52397465549143</v>
      </c>
      <c r="E67" s="89">
        <f t="shared" si="0"/>
        <v>7.2620011548115402</v>
      </c>
      <c r="F67" s="89">
        <f t="shared" si="5"/>
        <v>432.26197350067991</v>
      </c>
      <c r="G67" s="91">
        <f t="shared" si="6"/>
        <v>7.0485839387401938E-12</v>
      </c>
    </row>
  </sheetData>
  <mergeCells count="11">
    <mergeCell ref="E9:F9"/>
    <mergeCell ref="B1:G1"/>
    <mergeCell ref="C3:G3"/>
    <mergeCell ref="C4:G4"/>
    <mergeCell ref="E7:F7"/>
    <mergeCell ref="E8:F8"/>
    <mergeCell ref="E11:F11"/>
    <mergeCell ref="E12:F12"/>
    <mergeCell ref="E13:F13"/>
    <mergeCell ref="E14:F14"/>
    <mergeCell ref="B17:G17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0"/>
  <sheetViews>
    <sheetView topLeftCell="A10" zoomScaleNormal="100" workbookViewId="0">
      <selection activeCell="E13" sqref="E13:F13"/>
    </sheetView>
  </sheetViews>
  <sheetFormatPr defaultRowHeight="14.4" x14ac:dyDescent="0.3"/>
  <cols>
    <col min="1" max="1" width="2.6640625" customWidth="1"/>
    <col min="2" max="2" width="19.5546875" customWidth="1"/>
    <col min="3" max="3" width="14.33203125" style="12" bestFit="1" customWidth="1"/>
    <col min="4" max="4" width="12.5546875" style="12" customWidth="1"/>
    <col min="5" max="5" width="13.6640625" style="2" customWidth="1"/>
    <col min="6" max="6" width="16" style="4" customWidth="1"/>
    <col min="7" max="7" width="13.88671875" style="4" customWidth="1"/>
    <col min="8" max="8" width="25.5546875" style="5" bestFit="1" customWidth="1"/>
    <col min="9" max="9" width="13.5546875" bestFit="1" customWidth="1"/>
    <col min="10" max="10" width="13.33203125" bestFit="1" customWidth="1"/>
  </cols>
  <sheetData>
    <row r="1" spans="2:9" ht="17.399999999999999" x14ac:dyDescent="0.35">
      <c r="B1" s="139" t="s">
        <v>54</v>
      </c>
      <c r="C1" s="140"/>
      <c r="D1" s="140"/>
      <c r="E1" s="140"/>
      <c r="F1" s="140"/>
      <c r="G1" s="140"/>
      <c r="H1" s="141"/>
    </row>
    <row r="2" spans="2:9" ht="17.399999999999999" x14ac:dyDescent="0.35">
      <c r="B2" s="53"/>
      <c r="C2" s="53"/>
      <c r="D2" s="53"/>
      <c r="E2" s="53"/>
      <c r="F2" s="53"/>
      <c r="G2" s="53"/>
      <c r="H2" s="53"/>
    </row>
    <row r="3" spans="2:9" x14ac:dyDescent="0.3">
      <c r="B3" s="15" t="s">
        <v>39</v>
      </c>
      <c r="C3" s="133" t="str">
        <f>'DADOS DO CONTRATO E CAPITALIZ'!C3</f>
        <v>XXXXXXXX</v>
      </c>
      <c r="D3" s="133"/>
      <c r="E3" s="134"/>
      <c r="F3" s="134"/>
      <c r="G3" s="134"/>
      <c r="H3" s="135"/>
    </row>
    <row r="4" spans="2:9" x14ac:dyDescent="0.3">
      <c r="B4" s="17" t="s">
        <v>40</v>
      </c>
      <c r="C4" s="136" t="str">
        <f>'DADOS DO CONTRATO E CAPITALIZ'!C4</f>
        <v>SANTANDER</v>
      </c>
      <c r="D4" s="136"/>
      <c r="E4" s="137"/>
      <c r="F4" s="137"/>
      <c r="G4" s="137"/>
      <c r="H4" s="138"/>
    </row>
    <row r="5" spans="2:9" x14ac:dyDescent="0.3">
      <c r="B5" s="18" t="s">
        <v>41</v>
      </c>
      <c r="C5" s="22" t="str">
        <f>'DADOS DO CONTRATO E CAPITALIZ'!C5</f>
        <v>0000</v>
      </c>
      <c r="D5" s="22"/>
      <c r="E5" s="19"/>
      <c r="F5" s="102" t="s">
        <v>42</v>
      </c>
      <c r="G5" s="20"/>
      <c r="H5" s="23">
        <f>'DADOS DO CONTRATO E CAPITALIZ'!F4</f>
        <v>43369</v>
      </c>
    </row>
    <row r="6" spans="2:9" x14ac:dyDescent="0.3">
      <c r="B6" s="1"/>
      <c r="E6" s="14"/>
    </row>
    <row r="7" spans="2:9" x14ac:dyDescent="0.3">
      <c r="B7" s="31" t="s">
        <v>10</v>
      </c>
      <c r="C7" s="32">
        <f>'DADOS DO CONTRATO E CAPITALIZ'!C7</f>
        <v>13900</v>
      </c>
      <c r="D7" s="55"/>
      <c r="E7" s="66" t="s">
        <v>18</v>
      </c>
      <c r="F7" s="67"/>
      <c r="G7" s="32">
        <f>'DADOS DO CONTRATO E CAPITALIZ'!C17</f>
        <v>624.55999999999995</v>
      </c>
      <c r="H7"/>
    </row>
    <row r="8" spans="2:9" x14ac:dyDescent="0.3">
      <c r="B8" s="33" t="str">
        <f>'DADOS DO CONTRATO E CAPITALIZ'!B8</f>
        <v>IOF financiado</v>
      </c>
      <c r="C8" s="34">
        <f>'DADOS DO CONTRATO E CAPITALIZ'!C8</f>
        <v>443.36</v>
      </c>
      <c r="D8" s="55"/>
      <c r="E8" s="68" t="s">
        <v>19</v>
      </c>
      <c r="F8" s="69"/>
      <c r="G8" s="41">
        <f>'DADOS DO CONTRATO E CAPITALIZ'!C18</f>
        <v>48</v>
      </c>
      <c r="H8"/>
    </row>
    <row r="9" spans="2:9" x14ac:dyDescent="0.3">
      <c r="B9" s="33" t="str">
        <f>'DADOS DO CONTRATO E CAPITALIZ'!B9</f>
        <v>IOF adicional</v>
      </c>
      <c r="C9" s="34">
        <f>'DADOS DO CONTRATO E CAPITALIZ'!C9</f>
        <v>59.86</v>
      </c>
      <c r="D9" s="55"/>
      <c r="E9" s="70" t="s">
        <v>43</v>
      </c>
      <c r="F9" s="71"/>
      <c r="G9" s="42">
        <f>'DADOS DO CONTRATO E CAPITALIZ'!C19</f>
        <v>29978.879999999997</v>
      </c>
      <c r="H9"/>
    </row>
    <row r="10" spans="2:9" x14ac:dyDescent="0.3">
      <c r="B10" s="33" t="str">
        <f>'DADOS DO CONTRATO E CAPITALIZ'!B10</f>
        <v>tarifa de avaliação</v>
      </c>
      <c r="C10" s="34">
        <f>'DADOS DO CONTRATO E CAPITALIZ'!C10</f>
        <v>450</v>
      </c>
      <c r="D10" s="55"/>
      <c r="E10" s="4"/>
      <c r="G10" s="5"/>
      <c r="H10"/>
    </row>
    <row r="11" spans="2:9" x14ac:dyDescent="0.3">
      <c r="B11" s="33" t="str">
        <f>'DADOS DO CONTRATO E CAPITALIZ'!B11</f>
        <v>seguro</v>
      </c>
      <c r="C11" s="34">
        <f>'DADOS DO CONTRATO E CAPITALIZ'!C11</f>
        <v>835.91</v>
      </c>
      <c r="D11" s="55"/>
      <c r="E11" s="66" t="s">
        <v>52</v>
      </c>
      <c r="F11" s="67"/>
      <c r="G11" s="39">
        <f>'tabela price_BACEN'!G11</f>
        <v>1.6799999999999999E-2</v>
      </c>
      <c r="H11" s="100" t="s">
        <v>55</v>
      </c>
      <c r="I11" s="72"/>
    </row>
    <row r="12" spans="2:9" x14ac:dyDescent="0.3">
      <c r="B12" s="33" t="str">
        <f>'DADOS DO CONTRATO E CAPITALIZ'!B12</f>
        <v>registro no órgão de trânsito</v>
      </c>
      <c r="C12" s="34">
        <f>'DADOS DO CONTRATO E CAPITALIZ'!C12</f>
        <v>62.22</v>
      </c>
      <c r="D12" s="55"/>
      <c r="E12" s="115" t="s">
        <v>53</v>
      </c>
      <c r="F12" s="116"/>
      <c r="G12" s="117"/>
      <c r="H12" s="101">
        <f>(G13/G11)-1</f>
        <v>0.79166666666666674</v>
      </c>
      <c r="I12" s="73"/>
    </row>
    <row r="13" spans="2:9" x14ac:dyDescent="0.3">
      <c r="B13" s="33" t="str">
        <f>'DADOS DO CONTRATO E CAPITALIZ'!B13</f>
        <v>Outros:</v>
      </c>
      <c r="C13" s="34">
        <f>'DADOS DO CONTRATO E CAPITALIZ'!C13</f>
        <v>0</v>
      </c>
      <c r="D13" s="55"/>
      <c r="E13" s="152" t="s">
        <v>21</v>
      </c>
      <c r="F13" s="153"/>
      <c r="G13" s="25">
        <f>'tabela price_BACEN'!G13</f>
        <v>3.0099999999999998E-2</v>
      </c>
      <c r="H13"/>
    </row>
    <row r="14" spans="2:9" x14ac:dyDescent="0.3">
      <c r="B14" s="35" t="s">
        <v>17</v>
      </c>
      <c r="C14" s="36">
        <f>SUM(C7:C13)</f>
        <v>15751.35</v>
      </c>
      <c r="D14" s="56"/>
      <c r="E14" s="154" t="s">
        <v>22</v>
      </c>
      <c r="F14" s="155"/>
      <c r="G14" s="26">
        <f>'tabela price_BACEN'!G14</f>
        <v>0.42742285476297193</v>
      </c>
      <c r="H14"/>
    </row>
    <row r="15" spans="2:9" x14ac:dyDescent="0.3">
      <c r="B15" s="37" t="s">
        <v>8</v>
      </c>
      <c r="C15" s="38">
        <f>'DADOS DO CONTRATO E CAPITALIZ'!F5</f>
        <v>43399</v>
      </c>
      <c r="E15" s="5"/>
      <c r="F15"/>
      <c r="G15"/>
      <c r="H15"/>
    </row>
    <row r="17" spans="2:9" x14ac:dyDescent="0.3">
      <c r="B17" s="151" t="s">
        <v>44</v>
      </c>
      <c r="C17" s="151"/>
      <c r="D17" s="151"/>
      <c r="E17" s="151"/>
      <c r="F17" s="151"/>
      <c r="G17" s="96"/>
      <c r="H17" s="96"/>
      <c r="I17" s="96"/>
    </row>
    <row r="18" spans="2:9" s="4" customFormat="1" x14ac:dyDescent="0.3">
      <c r="B18" s="43" t="s">
        <v>45</v>
      </c>
      <c r="C18" s="44" t="s">
        <v>46</v>
      </c>
      <c r="D18" s="44" t="s">
        <v>56</v>
      </c>
      <c r="E18" s="45" t="s">
        <v>57</v>
      </c>
      <c r="F18" s="46" t="s">
        <v>58</v>
      </c>
    </row>
    <row r="19" spans="2:9" x14ac:dyDescent="0.3">
      <c r="B19" s="47">
        <v>0</v>
      </c>
      <c r="C19" s="48">
        <f>'DADOS DO CONTRATO E CAPITALIZ'!F4</f>
        <v>43369</v>
      </c>
      <c r="D19" s="48"/>
      <c r="E19" s="49"/>
      <c r="F19" s="50"/>
      <c r="G19"/>
      <c r="H19"/>
    </row>
    <row r="20" spans="2:9" x14ac:dyDescent="0.3">
      <c r="B20" s="47">
        <v>1</v>
      </c>
      <c r="C20" s="48">
        <f>C15</f>
        <v>43399</v>
      </c>
      <c r="D20" s="51">
        <f>'tabela price_FINANCEIRA'!D20</f>
        <v>624.55999999999995</v>
      </c>
      <c r="E20" s="97">
        <f>'tabela price_BACEN'!D20</f>
        <v>439.52397465549143</v>
      </c>
      <c r="F20" s="51">
        <f>D20-E20</f>
        <v>185.03602534450852</v>
      </c>
      <c r="G20"/>
      <c r="H20"/>
    </row>
    <row r="21" spans="2:9" x14ac:dyDescent="0.3">
      <c r="B21" s="47">
        <v>2</v>
      </c>
      <c r="C21" s="48">
        <f>EDATE(C20,1)</f>
        <v>43430</v>
      </c>
      <c r="D21" s="51">
        <f>'tabela price_FINANCEIRA'!D21</f>
        <v>624.55999999999995</v>
      </c>
      <c r="E21" s="97">
        <f>E20</f>
        <v>439.52397465549143</v>
      </c>
      <c r="F21" s="51">
        <f t="shared" ref="F21:F24" si="0">D21-E21</f>
        <v>185.03602534450852</v>
      </c>
      <c r="G21"/>
      <c r="H21"/>
    </row>
    <row r="22" spans="2:9" x14ac:dyDescent="0.3">
      <c r="B22" s="47">
        <v>3</v>
      </c>
      <c r="C22" s="48">
        <f t="shared" ref="C22:C24" si="1">EDATE(C21,1)</f>
        <v>43460</v>
      </c>
      <c r="D22" s="51">
        <f>'tabela price_FINANCEIRA'!D22</f>
        <v>624.55999999999995</v>
      </c>
      <c r="E22" s="97">
        <f t="shared" ref="E22:E24" si="2">E21</f>
        <v>439.52397465549143</v>
      </c>
      <c r="F22" s="51">
        <f t="shared" si="0"/>
        <v>185.03602534450852</v>
      </c>
      <c r="G22"/>
      <c r="H22"/>
    </row>
    <row r="23" spans="2:9" x14ac:dyDescent="0.3">
      <c r="B23" s="47">
        <v>4</v>
      </c>
      <c r="C23" s="48">
        <f t="shared" si="1"/>
        <v>43491</v>
      </c>
      <c r="D23" s="51">
        <f>'tabela price_FINANCEIRA'!D23</f>
        <v>624.55999999999995</v>
      </c>
      <c r="E23" s="97">
        <f t="shared" si="2"/>
        <v>439.52397465549143</v>
      </c>
      <c r="F23" s="51">
        <f t="shared" si="0"/>
        <v>185.03602534450852</v>
      </c>
      <c r="G23"/>
      <c r="H23"/>
    </row>
    <row r="24" spans="2:9" x14ac:dyDescent="0.3">
      <c r="B24" s="47">
        <v>5</v>
      </c>
      <c r="C24" s="48">
        <f t="shared" si="1"/>
        <v>43522</v>
      </c>
      <c r="D24" s="51">
        <f>'tabela price_FINANCEIRA'!D24</f>
        <v>624.55999999999995</v>
      </c>
      <c r="E24" s="97">
        <f t="shared" si="2"/>
        <v>439.52397465549143</v>
      </c>
      <c r="F24" s="51">
        <f t="shared" si="0"/>
        <v>185.03602534450852</v>
      </c>
      <c r="G24"/>
      <c r="H24"/>
    </row>
    <row r="25" spans="2:9" x14ac:dyDescent="0.3">
      <c r="B25" s="47">
        <v>6</v>
      </c>
      <c r="C25" s="48">
        <f>EDATE(C24,1)</f>
        <v>43550</v>
      </c>
      <c r="D25" s="51">
        <f>'tabela price_FINANCEIRA'!D25</f>
        <v>624.55999999999995</v>
      </c>
      <c r="E25" s="97">
        <f>E24</f>
        <v>439.52397465549143</v>
      </c>
      <c r="F25" s="51">
        <f>D25-E25</f>
        <v>185.03602534450852</v>
      </c>
      <c r="G25"/>
      <c r="H25"/>
    </row>
    <row r="26" spans="2:9" x14ac:dyDescent="0.3">
      <c r="B26" s="47">
        <v>7</v>
      </c>
      <c r="C26" s="48">
        <f>EDATE(C25,1)</f>
        <v>43581</v>
      </c>
      <c r="D26" s="51">
        <f>'tabela price_FINANCEIRA'!D26</f>
        <v>624.55999999999995</v>
      </c>
      <c r="E26" s="97">
        <f>E25</f>
        <v>439.52397465549143</v>
      </c>
      <c r="F26" s="51">
        <f>D26-E26</f>
        <v>185.03602534450852</v>
      </c>
      <c r="G26"/>
      <c r="H26"/>
    </row>
    <row r="27" spans="2:9" x14ac:dyDescent="0.3">
      <c r="B27" s="47">
        <v>8</v>
      </c>
      <c r="C27" s="48">
        <f>EDATE(C26,1)</f>
        <v>43611</v>
      </c>
      <c r="D27" s="51">
        <f>'tabela price_FINANCEIRA'!D27</f>
        <v>624.55999999999995</v>
      </c>
      <c r="E27" s="97">
        <f>E26</f>
        <v>439.52397465549143</v>
      </c>
      <c r="F27" s="51">
        <f>D27-E27</f>
        <v>185.03602534450852</v>
      </c>
      <c r="G27"/>
      <c r="H27"/>
    </row>
    <row r="28" spans="2:9" x14ac:dyDescent="0.3">
      <c r="B28" s="47">
        <v>9</v>
      </c>
      <c r="C28" s="48">
        <f>EDATE(C27,1)</f>
        <v>43642</v>
      </c>
      <c r="D28" s="51">
        <f>'tabela price_FINANCEIRA'!D28</f>
        <v>624.55999999999995</v>
      </c>
      <c r="E28" s="97">
        <f>E27</f>
        <v>439.52397465549143</v>
      </c>
      <c r="F28" s="51">
        <f>D28-E28</f>
        <v>185.03602534450852</v>
      </c>
      <c r="G28"/>
      <c r="H28"/>
    </row>
    <row r="29" spans="2:9" x14ac:dyDescent="0.3">
      <c r="B29" s="47">
        <v>10</v>
      </c>
      <c r="C29" s="48">
        <f>EDATE(C28,1)</f>
        <v>43672</v>
      </c>
      <c r="D29" s="51">
        <f>'tabela price_FINANCEIRA'!D29</f>
        <v>624.55999999999995</v>
      </c>
      <c r="E29" s="97">
        <f>E28</f>
        <v>439.52397465549143</v>
      </c>
      <c r="F29" s="51">
        <f>D29-E29</f>
        <v>185.03602534450852</v>
      </c>
      <c r="G29"/>
      <c r="H29"/>
    </row>
    <row r="30" spans="2:9" x14ac:dyDescent="0.3">
      <c r="B30" s="47">
        <v>11</v>
      </c>
      <c r="C30" s="48">
        <f t="shared" ref="C30:C67" si="3">EDATE(C29,1)</f>
        <v>43703</v>
      </c>
      <c r="D30" s="51">
        <f>'tabela price_FINANCEIRA'!D30</f>
        <v>624.55999999999995</v>
      </c>
      <c r="E30" s="97">
        <f t="shared" ref="E30:E67" si="4">E29</f>
        <v>439.52397465549143</v>
      </c>
      <c r="F30" s="51">
        <f t="shared" ref="F30:F67" si="5">D30-E30</f>
        <v>185.03602534450852</v>
      </c>
      <c r="G30" s="95"/>
      <c r="H30"/>
    </row>
    <row r="31" spans="2:9" x14ac:dyDescent="0.3">
      <c r="B31" s="47">
        <v>12</v>
      </c>
      <c r="C31" s="48">
        <f t="shared" si="3"/>
        <v>43734</v>
      </c>
      <c r="D31" s="51">
        <f>'tabela price_FINANCEIRA'!D31</f>
        <v>624.55999999999995</v>
      </c>
      <c r="E31" s="97">
        <f t="shared" si="4"/>
        <v>439.52397465549143</v>
      </c>
      <c r="F31" s="51">
        <f t="shared" si="5"/>
        <v>185.03602534450852</v>
      </c>
      <c r="G31" s="95"/>
      <c r="H31"/>
    </row>
    <row r="32" spans="2:9" x14ac:dyDescent="0.3">
      <c r="B32" s="47">
        <v>13</v>
      </c>
      <c r="C32" s="48">
        <f t="shared" si="3"/>
        <v>43764</v>
      </c>
      <c r="D32" s="51">
        <f>'tabela price_FINANCEIRA'!D32</f>
        <v>624.55999999999995</v>
      </c>
      <c r="E32" s="97">
        <f t="shared" si="4"/>
        <v>439.52397465549143</v>
      </c>
      <c r="F32" s="51">
        <f t="shared" si="5"/>
        <v>185.03602534450852</v>
      </c>
      <c r="G32" s="95"/>
      <c r="H32"/>
    </row>
    <row r="33" spans="2:8" x14ac:dyDescent="0.3">
      <c r="B33" s="47">
        <v>14</v>
      </c>
      <c r="C33" s="48">
        <f t="shared" si="3"/>
        <v>43795</v>
      </c>
      <c r="D33" s="51">
        <f>'tabela price_FINANCEIRA'!D33</f>
        <v>624.55999999999995</v>
      </c>
      <c r="E33" s="97">
        <f t="shared" si="4"/>
        <v>439.52397465549143</v>
      </c>
      <c r="F33" s="51">
        <f t="shared" si="5"/>
        <v>185.03602534450852</v>
      </c>
      <c r="G33" s="95"/>
      <c r="H33"/>
    </row>
    <row r="34" spans="2:8" x14ac:dyDescent="0.3">
      <c r="B34" s="47">
        <v>15</v>
      </c>
      <c r="C34" s="48">
        <f t="shared" si="3"/>
        <v>43825</v>
      </c>
      <c r="D34" s="51">
        <f>'tabela price_FINANCEIRA'!D34</f>
        <v>624.55999999999995</v>
      </c>
      <c r="E34" s="97">
        <f t="shared" si="4"/>
        <v>439.52397465549143</v>
      </c>
      <c r="F34" s="51">
        <f t="shared" si="5"/>
        <v>185.03602534450852</v>
      </c>
      <c r="G34" s="95"/>
      <c r="H34"/>
    </row>
    <row r="35" spans="2:8" x14ac:dyDescent="0.3">
      <c r="B35" s="47">
        <v>16</v>
      </c>
      <c r="C35" s="48">
        <f t="shared" si="3"/>
        <v>43856</v>
      </c>
      <c r="D35" s="51">
        <f>'tabela price_FINANCEIRA'!D35</f>
        <v>624.55999999999995</v>
      </c>
      <c r="E35" s="97">
        <f t="shared" si="4"/>
        <v>439.52397465549143</v>
      </c>
      <c r="F35" s="51">
        <f t="shared" si="5"/>
        <v>185.03602534450852</v>
      </c>
      <c r="G35" s="95"/>
      <c r="H35"/>
    </row>
    <row r="36" spans="2:8" x14ac:dyDescent="0.3">
      <c r="B36" s="47">
        <v>17</v>
      </c>
      <c r="C36" s="48">
        <f t="shared" si="3"/>
        <v>43887</v>
      </c>
      <c r="D36" s="51">
        <f>'tabela price_FINANCEIRA'!D36</f>
        <v>624.55999999999995</v>
      </c>
      <c r="E36" s="97">
        <f t="shared" si="4"/>
        <v>439.52397465549143</v>
      </c>
      <c r="F36" s="51">
        <f t="shared" si="5"/>
        <v>185.03602534450852</v>
      </c>
      <c r="G36" s="95"/>
      <c r="H36"/>
    </row>
    <row r="37" spans="2:8" x14ac:dyDescent="0.3">
      <c r="B37" s="47">
        <v>18</v>
      </c>
      <c r="C37" s="48">
        <f t="shared" si="3"/>
        <v>43916</v>
      </c>
      <c r="D37" s="51">
        <f>'tabela price_FINANCEIRA'!D37</f>
        <v>624.55999999999995</v>
      </c>
      <c r="E37" s="97">
        <f t="shared" si="4"/>
        <v>439.52397465549143</v>
      </c>
      <c r="F37" s="51">
        <f t="shared" si="5"/>
        <v>185.03602534450852</v>
      </c>
      <c r="G37" s="95"/>
      <c r="H37"/>
    </row>
    <row r="38" spans="2:8" x14ac:dyDescent="0.3">
      <c r="B38" s="47">
        <v>19</v>
      </c>
      <c r="C38" s="48">
        <f t="shared" si="3"/>
        <v>43947</v>
      </c>
      <c r="D38" s="51">
        <f>'tabela price_FINANCEIRA'!D38</f>
        <v>624.55999999999995</v>
      </c>
      <c r="E38" s="97">
        <f t="shared" si="4"/>
        <v>439.52397465549143</v>
      </c>
      <c r="F38" s="51">
        <f t="shared" si="5"/>
        <v>185.03602534450852</v>
      </c>
      <c r="G38" s="95"/>
      <c r="H38"/>
    </row>
    <row r="39" spans="2:8" x14ac:dyDescent="0.3">
      <c r="B39" s="47">
        <v>20</v>
      </c>
      <c r="C39" s="48">
        <f t="shared" si="3"/>
        <v>43977</v>
      </c>
      <c r="D39" s="51">
        <f>'tabela price_FINANCEIRA'!D39</f>
        <v>624.55999999999995</v>
      </c>
      <c r="E39" s="97">
        <f t="shared" si="4"/>
        <v>439.52397465549143</v>
      </c>
      <c r="F39" s="51">
        <f t="shared" si="5"/>
        <v>185.03602534450852</v>
      </c>
      <c r="G39" s="95"/>
      <c r="H39"/>
    </row>
    <row r="40" spans="2:8" x14ac:dyDescent="0.3">
      <c r="B40" s="47">
        <v>21</v>
      </c>
      <c r="C40" s="48">
        <f t="shared" si="3"/>
        <v>44008</v>
      </c>
      <c r="D40" s="51">
        <f>'tabela price_FINANCEIRA'!D40</f>
        <v>624.55999999999995</v>
      </c>
      <c r="E40" s="97">
        <f t="shared" si="4"/>
        <v>439.52397465549143</v>
      </c>
      <c r="F40" s="51">
        <f t="shared" si="5"/>
        <v>185.03602534450852</v>
      </c>
      <c r="G40" s="95"/>
      <c r="H40"/>
    </row>
    <row r="41" spans="2:8" x14ac:dyDescent="0.3">
      <c r="B41" s="47">
        <v>22</v>
      </c>
      <c r="C41" s="48">
        <f t="shared" si="3"/>
        <v>44038</v>
      </c>
      <c r="D41" s="51">
        <f>'tabela price_FINANCEIRA'!D41</f>
        <v>624.55999999999995</v>
      </c>
      <c r="E41" s="97">
        <f t="shared" si="4"/>
        <v>439.52397465549143</v>
      </c>
      <c r="F41" s="51">
        <f t="shared" si="5"/>
        <v>185.03602534450852</v>
      </c>
      <c r="G41" s="95"/>
      <c r="H41"/>
    </row>
    <row r="42" spans="2:8" x14ac:dyDescent="0.3">
      <c r="B42" s="47">
        <v>23</v>
      </c>
      <c r="C42" s="48">
        <f t="shared" si="3"/>
        <v>44069</v>
      </c>
      <c r="D42" s="51">
        <f>'tabela price_FINANCEIRA'!D42</f>
        <v>624.55999999999995</v>
      </c>
      <c r="E42" s="97">
        <f t="shared" si="4"/>
        <v>439.52397465549143</v>
      </c>
      <c r="F42" s="51">
        <f t="shared" si="5"/>
        <v>185.03602534450852</v>
      </c>
      <c r="G42" s="95"/>
      <c r="H42"/>
    </row>
    <row r="43" spans="2:8" x14ac:dyDescent="0.3">
      <c r="B43" s="47">
        <v>24</v>
      </c>
      <c r="C43" s="48">
        <f t="shared" si="3"/>
        <v>44100</v>
      </c>
      <c r="D43" s="51">
        <f>'tabela price_FINANCEIRA'!D43</f>
        <v>624.55999999999995</v>
      </c>
      <c r="E43" s="97">
        <f t="shared" si="4"/>
        <v>439.52397465549143</v>
      </c>
      <c r="F43" s="51">
        <f t="shared" si="5"/>
        <v>185.03602534450852</v>
      </c>
      <c r="G43" s="95"/>
      <c r="H43"/>
    </row>
    <row r="44" spans="2:8" x14ac:dyDescent="0.3">
      <c r="B44" s="47">
        <v>25</v>
      </c>
      <c r="C44" s="48">
        <f t="shared" si="3"/>
        <v>44130</v>
      </c>
      <c r="D44" s="51">
        <f>'tabela price_FINANCEIRA'!D44</f>
        <v>624.55999999999995</v>
      </c>
      <c r="E44" s="97">
        <f t="shared" si="4"/>
        <v>439.52397465549143</v>
      </c>
      <c r="F44" s="51">
        <f t="shared" si="5"/>
        <v>185.03602534450852</v>
      </c>
      <c r="G44" s="95"/>
      <c r="H44"/>
    </row>
    <row r="45" spans="2:8" x14ac:dyDescent="0.3">
      <c r="B45" s="47">
        <v>26</v>
      </c>
      <c r="C45" s="48">
        <f t="shared" si="3"/>
        <v>44161</v>
      </c>
      <c r="D45" s="51">
        <f>'tabela price_FINANCEIRA'!D45</f>
        <v>624.55999999999995</v>
      </c>
      <c r="E45" s="97">
        <f t="shared" si="4"/>
        <v>439.52397465549143</v>
      </c>
      <c r="F45" s="51">
        <f t="shared" si="5"/>
        <v>185.03602534450852</v>
      </c>
      <c r="G45" s="95"/>
      <c r="H45"/>
    </row>
    <row r="46" spans="2:8" x14ac:dyDescent="0.3">
      <c r="B46" s="47">
        <v>27</v>
      </c>
      <c r="C46" s="48">
        <f t="shared" si="3"/>
        <v>44191</v>
      </c>
      <c r="D46" s="51">
        <f>'tabela price_FINANCEIRA'!D46</f>
        <v>624.55999999999995</v>
      </c>
      <c r="E46" s="97">
        <f t="shared" si="4"/>
        <v>439.52397465549143</v>
      </c>
      <c r="F46" s="51">
        <f t="shared" si="5"/>
        <v>185.03602534450852</v>
      </c>
      <c r="G46" s="95"/>
      <c r="H46"/>
    </row>
    <row r="47" spans="2:8" x14ac:dyDescent="0.3">
      <c r="B47" s="47">
        <v>28</v>
      </c>
      <c r="C47" s="48">
        <f t="shared" si="3"/>
        <v>44222</v>
      </c>
      <c r="D47" s="51">
        <f>'tabela price_FINANCEIRA'!D47</f>
        <v>624.55999999999995</v>
      </c>
      <c r="E47" s="97">
        <f t="shared" si="4"/>
        <v>439.52397465549143</v>
      </c>
      <c r="F47" s="51">
        <f t="shared" si="5"/>
        <v>185.03602534450852</v>
      </c>
      <c r="G47" s="95"/>
      <c r="H47"/>
    </row>
    <row r="48" spans="2:8" x14ac:dyDescent="0.3">
      <c r="B48" s="47">
        <v>29</v>
      </c>
      <c r="C48" s="48">
        <f t="shared" si="3"/>
        <v>44253</v>
      </c>
      <c r="D48" s="51">
        <f>'tabela price_FINANCEIRA'!D48</f>
        <v>624.55999999999995</v>
      </c>
      <c r="E48" s="97">
        <f t="shared" si="4"/>
        <v>439.52397465549143</v>
      </c>
      <c r="F48" s="51">
        <f t="shared" si="5"/>
        <v>185.03602534450852</v>
      </c>
      <c r="G48" s="95"/>
      <c r="H48"/>
    </row>
    <row r="49" spans="2:8" x14ac:dyDescent="0.3">
      <c r="B49" s="47">
        <v>30</v>
      </c>
      <c r="C49" s="48">
        <f t="shared" si="3"/>
        <v>44281</v>
      </c>
      <c r="D49" s="51">
        <f>'tabela price_FINANCEIRA'!D49</f>
        <v>624.55999999999995</v>
      </c>
      <c r="E49" s="97">
        <f t="shared" si="4"/>
        <v>439.52397465549143</v>
      </c>
      <c r="F49" s="51">
        <f t="shared" si="5"/>
        <v>185.03602534450852</v>
      </c>
      <c r="G49" s="95"/>
      <c r="H49"/>
    </row>
    <row r="50" spans="2:8" x14ac:dyDescent="0.3">
      <c r="B50" s="47">
        <v>31</v>
      </c>
      <c r="C50" s="48">
        <f t="shared" si="3"/>
        <v>44312</v>
      </c>
      <c r="D50" s="51">
        <f>'tabela price_FINANCEIRA'!D50</f>
        <v>624.55999999999995</v>
      </c>
      <c r="E50" s="97">
        <f t="shared" si="4"/>
        <v>439.52397465549143</v>
      </c>
      <c r="F50" s="51">
        <f t="shared" si="5"/>
        <v>185.03602534450852</v>
      </c>
      <c r="G50" s="95"/>
      <c r="H50"/>
    </row>
    <row r="51" spans="2:8" x14ac:dyDescent="0.3">
      <c r="B51" s="47">
        <v>32</v>
      </c>
      <c r="C51" s="48">
        <f t="shared" si="3"/>
        <v>44342</v>
      </c>
      <c r="D51" s="51">
        <f>'tabela price_FINANCEIRA'!D51</f>
        <v>624.55999999999995</v>
      </c>
      <c r="E51" s="97">
        <f t="shared" si="4"/>
        <v>439.52397465549143</v>
      </c>
      <c r="F51" s="51">
        <f t="shared" si="5"/>
        <v>185.03602534450852</v>
      </c>
      <c r="G51" s="95"/>
      <c r="H51"/>
    </row>
    <row r="52" spans="2:8" x14ac:dyDescent="0.3">
      <c r="B52" s="47">
        <v>33</v>
      </c>
      <c r="C52" s="48">
        <f t="shared" si="3"/>
        <v>44373</v>
      </c>
      <c r="D52" s="51">
        <f>'tabela price_FINANCEIRA'!D52</f>
        <v>624.55999999999995</v>
      </c>
      <c r="E52" s="97">
        <f t="shared" si="4"/>
        <v>439.52397465549143</v>
      </c>
      <c r="F52" s="51">
        <f t="shared" si="5"/>
        <v>185.03602534450852</v>
      </c>
      <c r="G52" s="95"/>
      <c r="H52"/>
    </row>
    <row r="53" spans="2:8" x14ac:dyDescent="0.3">
      <c r="B53" s="47">
        <v>34</v>
      </c>
      <c r="C53" s="48">
        <f t="shared" si="3"/>
        <v>44403</v>
      </c>
      <c r="D53" s="51">
        <f>'tabela price_FINANCEIRA'!D53</f>
        <v>624.55999999999995</v>
      </c>
      <c r="E53" s="97">
        <f t="shared" si="4"/>
        <v>439.52397465549143</v>
      </c>
      <c r="F53" s="51">
        <f t="shared" si="5"/>
        <v>185.03602534450852</v>
      </c>
      <c r="G53" s="95"/>
      <c r="H53"/>
    </row>
    <row r="54" spans="2:8" x14ac:dyDescent="0.3">
      <c r="B54" s="47">
        <v>35</v>
      </c>
      <c r="C54" s="48">
        <f t="shared" si="3"/>
        <v>44434</v>
      </c>
      <c r="D54" s="51">
        <f>'tabela price_FINANCEIRA'!D54</f>
        <v>624.55999999999995</v>
      </c>
      <c r="E54" s="97">
        <f t="shared" si="4"/>
        <v>439.52397465549143</v>
      </c>
      <c r="F54" s="51">
        <f t="shared" si="5"/>
        <v>185.03602534450852</v>
      </c>
      <c r="G54" s="95"/>
      <c r="H54"/>
    </row>
    <row r="55" spans="2:8" x14ac:dyDescent="0.3">
      <c r="B55" s="47">
        <v>36</v>
      </c>
      <c r="C55" s="48">
        <f t="shared" si="3"/>
        <v>44465</v>
      </c>
      <c r="D55" s="51">
        <f>'tabela price_FINANCEIRA'!D55</f>
        <v>624.55999999999995</v>
      </c>
      <c r="E55" s="97">
        <f t="shared" si="4"/>
        <v>439.52397465549143</v>
      </c>
      <c r="F55" s="51">
        <f t="shared" si="5"/>
        <v>185.03602534450852</v>
      </c>
      <c r="G55" s="95"/>
      <c r="H55"/>
    </row>
    <row r="56" spans="2:8" x14ac:dyDescent="0.3">
      <c r="B56" s="47">
        <v>37</v>
      </c>
      <c r="C56" s="48">
        <f t="shared" si="3"/>
        <v>44495</v>
      </c>
      <c r="D56" s="51">
        <f>'tabela price_FINANCEIRA'!D56</f>
        <v>624.55999999999995</v>
      </c>
      <c r="E56" s="97">
        <f t="shared" si="4"/>
        <v>439.52397465549143</v>
      </c>
      <c r="F56" s="51">
        <f t="shared" si="5"/>
        <v>185.03602534450852</v>
      </c>
      <c r="G56" s="95"/>
      <c r="H56"/>
    </row>
    <row r="57" spans="2:8" x14ac:dyDescent="0.3">
      <c r="B57" s="47">
        <v>38</v>
      </c>
      <c r="C57" s="48">
        <f t="shared" si="3"/>
        <v>44526</v>
      </c>
      <c r="D57" s="51">
        <f>'tabela price_FINANCEIRA'!D57</f>
        <v>624.55999999999995</v>
      </c>
      <c r="E57" s="97">
        <f t="shared" si="4"/>
        <v>439.52397465549143</v>
      </c>
      <c r="F57" s="51">
        <f t="shared" si="5"/>
        <v>185.03602534450852</v>
      </c>
      <c r="G57" s="95"/>
      <c r="H57"/>
    </row>
    <row r="58" spans="2:8" x14ac:dyDescent="0.3">
      <c r="B58" s="47">
        <v>39</v>
      </c>
      <c r="C58" s="48">
        <f t="shared" si="3"/>
        <v>44556</v>
      </c>
      <c r="D58" s="51">
        <f>'tabela price_FINANCEIRA'!D58</f>
        <v>624.55999999999995</v>
      </c>
      <c r="E58" s="97">
        <f t="shared" si="4"/>
        <v>439.52397465549143</v>
      </c>
      <c r="F58" s="51">
        <f t="shared" si="5"/>
        <v>185.03602534450852</v>
      </c>
      <c r="G58" s="95"/>
      <c r="H58"/>
    </row>
    <row r="59" spans="2:8" x14ac:dyDescent="0.3">
      <c r="B59" s="47">
        <v>40</v>
      </c>
      <c r="C59" s="48">
        <f t="shared" si="3"/>
        <v>44587</v>
      </c>
      <c r="D59" s="51">
        <f>'tabela price_FINANCEIRA'!D59</f>
        <v>624.55999999999995</v>
      </c>
      <c r="E59" s="97">
        <f t="shared" si="4"/>
        <v>439.52397465549143</v>
      </c>
      <c r="F59" s="51">
        <f t="shared" si="5"/>
        <v>185.03602534450852</v>
      </c>
      <c r="G59" s="95"/>
      <c r="H59"/>
    </row>
    <row r="60" spans="2:8" x14ac:dyDescent="0.3">
      <c r="B60" s="47">
        <v>41</v>
      </c>
      <c r="C60" s="48">
        <f t="shared" si="3"/>
        <v>44618</v>
      </c>
      <c r="D60" s="51">
        <f>'tabela price_FINANCEIRA'!D60</f>
        <v>624.55999999999995</v>
      </c>
      <c r="E60" s="97">
        <f t="shared" si="4"/>
        <v>439.52397465549143</v>
      </c>
      <c r="F60" s="51">
        <f t="shared" si="5"/>
        <v>185.03602534450852</v>
      </c>
      <c r="G60" s="95"/>
      <c r="H60"/>
    </row>
    <row r="61" spans="2:8" x14ac:dyDescent="0.3">
      <c r="B61" s="47">
        <v>42</v>
      </c>
      <c r="C61" s="48">
        <f t="shared" si="3"/>
        <v>44646</v>
      </c>
      <c r="D61" s="51">
        <f>'tabela price_FINANCEIRA'!D61</f>
        <v>624.55999999999995</v>
      </c>
      <c r="E61" s="97">
        <f t="shared" si="4"/>
        <v>439.52397465549143</v>
      </c>
      <c r="F61" s="51">
        <f t="shared" si="5"/>
        <v>185.03602534450852</v>
      </c>
      <c r="G61" s="95"/>
      <c r="H61"/>
    </row>
    <row r="62" spans="2:8" x14ac:dyDescent="0.3">
      <c r="B62" s="47">
        <v>43</v>
      </c>
      <c r="C62" s="48">
        <f t="shared" si="3"/>
        <v>44677</v>
      </c>
      <c r="D62" s="51">
        <f>'tabela price_FINANCEIRA'!D62</f>
        <v>624.55999999999995</v>
      </c>
      <c r="E62" s="97">
        <f t="shared" si="4"/>
        <v>439.52397465549143</v>
      </c>
      <c r="F62" s="51">
        <f t="shared" si="5"/>
        <v>185.03602534450852</v>
      </c>
      <c r="G62" s="95"/>
      <c r="H62"/>
    </row>
    <row r="63" spans="2:8" x14ac:dyDescent="0.3">
      <c r="B63" s="47">
        <v>44</v>
      </c>
      <c r="C63" s="48">
        <f t="shared" si="3"/>
        <v>44707</v>
      </c>
      <c r="D63" s="51">
        <f>'tabela price_FINANCEIRA'!D63</f>
        <v>624.55999999999995</v>
      </c>
      <c r="E63" s="97">
        <f t="shared" si="4"/>
        <v>439.52397465549143</v>
      </c>
      <c r="F63" s="51">
        <f t="shared" si="5"/>
        <v>185.03602534450852</v>
      </c>
      <c r="G63" s="95"/>
      <c r="H63"/>
    </row>
    <row r="64" spans="2:8" x14ac:dyDescent="0.3">
      <c r="B64" s="47">
        <v>45</v>
      </c>
      <c r="C64" s="48">
        <f t="shared" si="3"/>
        <v>44738</v>
      </c>
      <c r="D64" s="51">
        <f>'tabela price_FINANCEIRA'!D64</f>
        <v>624.55999999999995</v>
      </c>
      <c r="E64" s="97">
        <f t="shared" si="4"/>
        <v>439.52397465549143</v>
      </c>
      <c r="F64" s="51">
        <f t="shared" si="5"/>
        <v>185.03602534450852</v>
      </c>
      <c r="G64" s="95"/>
      <c r="H64"/>
    </row>
    <row r="65" spans="2:8" x14ac:dyDescent="0.3">
      <c r="B65" s="47">
        <v>46</v>
      </c>
      <c r="C65" s="48">
        <f t="shared" si="3"/>
        <v>44768</v>
      </c>
      <c r="D65" s="51">
        <f>'tabela price_FINANCEIRA'!D65</f>
        <v>624.55999999999995</v>
      </c>
      <c r="E65" s="97">
        <f t="shared" si="4"/>
        <v>439.52397465549143</v>
      </c>
      <c r="F65" s="51">
        <f t="shared" si="5"/>
        <v>185.03602534450852</v>
      </c>
      <c r="G65" s="95"/>
      <c r="H65"/>
    </row>
    <row r="66" spans="2:8" x14ac:dyDescent="0.3">
      <c r="B66" s="47">
        <v>47</v>
      </c>
      <c r="C66" s="48">
        <f t="shared" si="3"/>
        <v>44799</v>
      </c>
      <c r="D66" s="51">
        <f>'tabela price_FINANCEIRA'!D66</f>
        <v>624.55999999999995</v>
      </c>
      <c r="E66" s="97">
        <f t="shared" si="4"/>
        <v>439.52397465549143</v>
      </c>
      <c r="F66" s="51">
        <f t="shared" si="5"/>
        <v>185.03602534450852</v>
      </c>
      <c r="G66" s="95"/>
      <c r="H66"/>
    </row>
    <row r="67" spans="2:8" x14ac:dyDescent="0.3">
      <c r="B67" s="47">
        <v>48</v>
      </c>
      <c r="C67" s="48">
        <f t="shared" si="3"/>
        <v>44830</v>
      </c>
      <c r="D67" s="51">
        <f>'tabela price_FINANCEIRA'!D67</f>
        <v>624.55999999999995</v>
      </c>
      <c r="E67" s="97">
        <f t="shared" si="4"/>
        <v>439.52397465549143</v>
      </c>
      <c r="F67" s="51">
        <f t="shared" si="5"/>
        <v>185.03602534450852</v>
      </c>
      <c r="G67" s="95"/>
      <c r="H67"/>
    </row>
    <row r="68" spans="2:8" x14ac:dyDescent="0.3">
      <c r="B68" s="98" t="s">
        <v>59</v>
      </c>
      <c r="C68" s="98"/>
      <c r="D68" s="98"/>
      <c r="E68" s="98"/>
      <c r="F68" s="98">
        <f>SUM(F20:F67)</f>
        <v>8881.7292165364161</v>
      </c>
      <c r="G68"/>
      <c r="H68"/>
    </row>
    <row r="70" spans="2:8" x14ac:dyDescent="0.3">
      <c r="D70" s="99" t="s">
        <v>60</v>
      </c>
      <c r="E70" s="99"/>
      <c r="F70" s="57">
        <f>F68*2</f>
        <v>17763.458433072832</v>
      </c>
    </row>
  </sheetData>
  <mergeCells count="6">
    <mergeCell ref="B1:H1"/>
    <mergeCell ref="C3:H3"/>
    <mergeCell ref="C4:H4"/>
    <mergeCell ref="B17:F17"/>
    <mergeCell ref="E13:F13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5"/>
  <sheetViews>
    <sheetView showGridLines="0" tabSelected="1" topLeftCell="A11" zoomScale="140" zoomScaleNormal="140" workbookViewId="0">
      <selection activeCell="F32" sqref="F32"/>
    </sheetView>
  </sheetViews>
  <sheetFormatPr defaultRowHeight="14.4" x14ac:dyDescent="0.3"/>
  <cols>
    <col min="2" max="2" width="31.109375" bestFit="1" customWidth="1"/>
    <col min="3" max="3" width="14.33203125" style="4" bestFit="1" customWidth="1"/>
    <col min="4" max="4" width="9.88671875" customWidth="1"/>
    <col min="5" max="5" width="30.6640625" bestFit="1" customWidth="1"/>
    <col min="6" max="6" width="1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26" t="s">
        <v>61</v>
      </c>
      <c r="C1" s="127"/>
      <c r="D1" s="127"/>
      <c r="E1" s="127"/>
      <c r="F1" s="128"/>
    </row>
    <row r="2" spans="2:6" x14ac:dyDescent="0.3">
      <c r="B2" s="4"/>
      <c r="D2" s="4"/>
      <c r="E2" s="4"/>
    </row>
    <row r="3" spans="2:6" x14ac:dyDescent="0.3">
      <c r="B3" s="15" t="s">
        <v>1</v>
      </c>
      <c r="C3" s="156" t="str">
        <f>'DADOS DO CONTRATO E CAPITALIZ'!C3</f>
        <v>XXXXXXXX</v>
      </c>
      <c r="D3" s="156"/>
      <c r="E3" s="156"/>
      <c r="F3" s="157"/>
    </row>
    <row r="4" spans="2:6" x14ac:dyDescent="0.3">
      <c r="B4" s="15" t="s">
        <v>3</v>
      </c>
      <c r="C4" s="105" t="str">
        <f>'DADOS DO CONTRATO E CAPITALIZ'!C4</f>
        <v>SANTANDER</v>
      </c>
      <c r="D4" s="106"/>
      <c r="E4" s="107" t="s">
        <v>5</v>
      </c>
      <c r="F4" s="92">
        <f>'DADOS DO CONTRATO E CAPITALIZ'!F4</f>
        <v>43369</v>
      </c>
    </row>
    <row r="5" spans="2:6" x14ac:dyDescent="0.3">
      <c r="B5" s="17" t="s">
        <v>6</v>
      </c>
      <c r="C5" s="4" t="str">
        <f>'DADOS DO CONTRATO E CAPITALIZ'!C5</f>
        <v>0000</v>
      </c>
      <c r="E5" s="1" t="s">
        <v>8</v>
      </c>
      <c r="F5" s="92">
        <f>'DADOS DO CONTRATO E CAPITALIZ'!F5</f>
        <v>43399</v>
      </c>
    </row>
    <row r="6" spans="2:6" x14ac:dyDescent="0.3">
      <c r="B6" s="18"/>
      <c r="C6" s="20"/>
      <c r="D6" s="108"/>
      <c r="E6" s="109" t="s">
        <v>9</v>
      </c>
      <c r="F6" s="92">
        <f>'DADOS DO CONTRATO E CAPITALIZ'!F6</f>
        <v>44830</v>
      </c>
    </row>
    <row r="7" spans="2:6" x14ac:dyDescent="0.3">
      <c r="B7" s="1"/>
      <c r="E7" s="1"/>
      <c r="F7" s="12"/>
    </row>
    <row r="8" spans="2:6" x14ac:dyDescent="0.3">
      <c r="B8" s="158" t="s">
        <v>62</v>
      </c>
      <c r="C8" s="158"/>
      <c r="E8" s="159" t="s">
        <v>63</v>
      </c>
      <c r="F8" s="159"/>
    </row>
    <row r="9" spans="2:6" x14ac:dyDescent="0.3">
      <c r="B9" s="15" t="s">
        <v>10</v>
      </c>
      <c r="C9" s="16">
        <f>'DADOS DO CONTRATO E CAPITALIZ'!C7</f>
        <v>13900</v>
      </c>
      <c r="E9" s="15" t="s">
        <v>10</v>
      </c>
      <c r="F9" s="16">
        <f>C9</f>
        <v>13900</v>
      </c>
    </row>
    <row r="10" spans="2:6" x14ac:dyDescent="0.3">
      <c r="B10" s="17" t="str">
        <f>'DADOS DO CONTRATO E CAPITALIZ'!B8</f>
        <v>IOF financiado</v>
      </c>
      <c r="C10" s="76">
        <f>'DADOS DO CONTRATO E CAPITALIZ'!C8</f>
        <v>443.36</v>
      </c>
      <c r="E10" s="17" t="str">
        <f>B10</f>
        <v>IOF financiado</v>
      </c>
      <c r="F10" s="76">
        <f>C10</f>
        <v>443.36</v>
      </c>
    </row>
    <row r="11" spans="2:6" x14ac:dyDescent="0.3">
      <c r="B11" s="17" t="str">
        <f>'DADOS DO CONTRATO E CAPITALIZ'!B9</f>
        <v>IOF adicional</v>
      </c>
      <c r="C11" s="76">
        <f>'DADOS DO CONTRATO E CAPITALIZ'!C9</f>
        <v>59.86</v>
      </c>
      <c r="E11" s="17" t="str">
        <f t="shared" ref="E11:E15" si="0">B11</f>
        <v>IOF adicional</v>
      </c>
      <c r="F11" s="76">
        <f>'tabela price_BACEN'!C9</f>
        <v>59.86</v>
      </c>
    </row>
    <row r="12" spans="2:6" x14ac:dyDescent="0.3">
      <c r="B12" s="17" t="str">
        <f>'DADOS DO CONTRATO E CAPITALIZ'!B10</f>
        <v>tarifa de avaliação</v>
      </c>
      <c r="C12" s="76">
        <f>'DADOS DO CONTRATO E CAPITALIZ'!C10</f>
        <v>450</v>
      </c>
      <c r="E12" s="17" t="str">
        <f t="shared" si="0"/>
        <v>tarifa de avaliação</v>
      </c>
      <c r="F12" s="76">
        <f>'tabela price_BACEN'!C10</f>
        <v>0</v>
      </c>
    </row>
    <row r="13" spans="2:6" x14ac:dyDescent="0.3">
      <c r="B13" s="17" t="str">
        <f>'DADOS DO CONTRATO E CAPITALIZ'!B11</f>
        <v>seguro</v>
      </c>
      <c r="C13" s="76">
        <f>'DADOS DO CONTRATO E CAPITALIZ'!C11</f>
        <v>835.91</v>
      </c>
      <c r="E13" s="17" t="str">
        <f t="shared" si="0"/>
        <v>seguro</v>
      </c>
      <c r="F13" s="76">
        <v>0</v>
      </c>
    </row>
    <row r="14" spans="2:6" x14ac:dyDescent="0.3">
      <c r="B14" s="17" t="str">
        <f>'DADOS DO CONTRATO E CAPITALIZ'!B12</f>
        <v>registro no órgão de trânsito</v>
      </c>
      <c r="C14" s="76">
        <f>'DADOS DO CONTRATO E CAPITALIZ'!C12</f>
        <v>62.22</v>
      </c>
      <c r="E14" s="17" t="str">
        <f t="shared" si="0"/>
        <v>registro no órgão de trânsito</v>
      </c>
      <c r="F14" s="76">
        <f>'tabela price_BACEN'!C12</f>
        <v>0</v>
      </c>
    </row>
    <row r="15" spans="2:6" x14ac:dyDescent="0.3">
      <c r="B15" s="17" t="str">
        <f>'DADOS DO CONTRATO E CAPITALIZ'!B13</f>
        <v>Outros:</v>
      </c>
      <c r="C15" s="21">
        <f>'DADOS DO CONTRATO E CAPITALIZ'!C13</f>
        <v>0</v>
      </c>
      <c r="E15" s="17" t="str">
        <f t="shared" si="0"/>
        <v>Outros:</v>
      </c>
      <c r="F15" s="76">
        <f>'tabela price_BACEN'!C13</f>
        <v>0</v>
      </c>
    </row>
    <row r="17" spans="2:8" x14ac:dyDescent="0.3">
      <c r="B17" s="3" t="s">
        <v>17</v>
      </c>
      <c r="C17" s="6">
        <f>SUM(C9:C15)</f>
        <v>15751.35</v>
      </c>
      <c r="E17" s="3" t="s">
        <v>17</v>
      </c>
      <c r="F17" s="6">
        <f>SUM(F9:F15)</f>
        <v>14403.220000000001</v>
      </c>
    </row>
    <row r="18" spans="2:8" x14ac:dyDescent="0.3">
      <c r="H18"/>
    </row>
    <row r="19" spans="2:8" x14ac:dyDescent="0.3">
      <c r="B19" s="15" t="s">
        <v>18</v>
      </c>
      <c r="C19" s="16">
        <f>'DADOS DO CONTRATO E CAPITALIZ'!C17</f>
        <v>624.55999999999995</v>
      </c>
      <c r="E19" s="15" t="s">
        <v>18</v>
      </c>
      <c r="F19" s="110">
        <f>'tabela price_BACEN'!D20</f>
        <v>439.52397465549143</v>
      </c>
      <c r="H19"/>
    </row>
    <row r="20" spans="2:8" x14ac:dyDescent="0.3">
      <c r="B20" s="17" t="s">
        <v>19</v>
      </c>
      <c r="C20" s="111">
        <f>'DADOS DO CONTRATO E CAPITALIZ'!C18</f>
        <v>48</v>
      </c>
      <c r="E20" s="17" t="s">
        <v>19</v>
      </c>
      <c r="F20" s="111">
        <f>C20</f>
        <v>48</v>
      </c>
      <c r="H20"/>
    </row>
    <row r="21" spans="2:8" x14ac:dyDescent="0.3">
      <c r="B21" s="112" t="s">
        <v>20</v>
      </c>
      <c r="C21" s="113">
        <f>'DADOS DO CONTRATO E CAPITALIZ'!C19</f>
        <v>29978.879999999997</v>
      </c>
      <c r="E21" s="114" t="s">
        <v>20</v>
      </c>
      <c r="F21" s="122">
        <f>F20*F19</f>
        <v>21097.150783463589</v>
      </c>
      <c r="H21"/>
    </row>
    <row r="22" spans="2:8" x14ac:dyDescent="0.3">
      <c r="B22" s="1"/>
      <c r="C22" s="5"/>
      <c r="E22" s="1"/>
      <c r="F22" s="5"/>
      <c r="H22"/>
    </row>
    <row r="23" spans="2:8" x14ac:dyDescent="0.3">
      <c r="B23" s="15" t="s">
        <v>21</v>
      </c>
      <c r="C23" s="25">
        <f>'DADOS DO CONTRATO E CAPITALIZ'!C21</f>
        <v>3.0099999999999998E-2</v>
      </c>
      <c r="E23" s="15" t="s">
        <v>64</v>
      </c>
      <c r="F23" s="25">
        <f>'tabela price_BACEN'!G11</f>
        <v>1.6799999999999999E-2</v>
      </c>
      <c r="H23"/>
    </row>
    <row r="24" spans="2:8" x14ac:dyDescent="0.3">
      <c r="B24" s="18" t="s">
        <v>22</v>
      </c>
      <c r="C24" s="25">
        <f>'DADOS DO CONTRATO E CAPITALIZ'!C22</f>
        <v>0.42742285476297193</v>
      </c>
      <c r="E24" s="18" t="s">
        <v>65</v>
      </c>
      <c r="F24" s="26">
        <f>'tabela price_BACEN'!G12</f>
        <v>0.22131151144473371</v>
      </c>
      <c r="H24"/>
    </row>
    <row r="25" spans="2:8" x14ac:dyDescent="0.3">
      <c r="B25" s="1"/>
      <c r="C25" s="26"/>
      <c r="E25" s="1"/>
      <c r="F25"/>
      <c r="H25"/>
    </row>
    <row r="26" spans="2:8" ht="14.4" customHeight="1" x14ac:dyDescent="0.3">
      <c r="B26" s="15" t="s">
        <v>23</v>
      </c>
      <c r="C26" s="26">
        <f>'DADOS DO CONTRATO E CAPITALIZ'!C24</f>
        <v>3.7100000000000001E-2</v>
      </c>
      <c r="E26" s="160" t="s">
        <v>66</v>
      </c>
      <c r="F26" s="161">
        <f>diferenças!H12</f>
        <v>0.79166666666666674</v>
      </c>
      <c r="H26"/>
    </row>
    <row r="27" spans="2:8" x14ac:dyDescent="0.3">
      <c r="B27" s="18" t="s">
        <v>24</v>
      </c>
      <c r="C27" s="26">
        <f>'DADOS DO CONTRATO E CAPITALIZ'!C25</f>
        <v>0.54827325260839266</v>
      </c>
      <c r="E27" s="160"/>
      <c r="F27" s="161"/>
      <c r="H27"/>
    </row>
    <row r="28" spans="2:8" x14ac:dyDescent="0.3">
      <c r="B28" s="1"/>
      <c r="C28" s="7"/>
      <c r="E28" s="160"/>
      <c r="F28" s="161"/>
      <c r="H28"/>
    </row>
    <row r="29" spans="2:8" x14ac:dyDescent="0.3">
      <c r="B29" s="27" t="s">
        <v>25</v>
      </c>
      <c r="C29" s="28" t="str">
        <f>'DADOS DO CONTRATO E CAPITALIZ'!C27</f>
        <v>mensal</v>
      </c>
      <c r="H29"/>
    </row>
    <row r="31" spans="2:8" x14ac:dyDescent="0.3">
      <c r="B31" s="29" t="s">
        <v>27</v>
      </c>
      <c r="C31" s="30">
        <f>C21-C9</f>
        <v>16078.879999999997</v>
      </c>
      <c r="E31" s="118" t="s">
        <v>27</v>
      </c>
      <c r="F31" s="119">
        <f>F21-F17</f>
        <v>6693.9307834635874</v>
      </c>
    </row>
    <row r="32" spans="2:8" x14ac:dyDescent="0.3">
      <c r="E32" s="120" t="s">
        <v>67</v>
      </c>
      <c r="F32" s="121">
        <f>C21-F21</f>
        <v>8881.7292165364088</v>
      </c>
    </row>
    <row r="33" spans="7:8" x14ac:dyDescent="0.3">
      <c r="H33"/>
    </row>
    <row r="34" spans="7:8" x14ac:dyDescent="0.3">
      <c r="G34" s="1"/>
    </row>
    <row r="35" spans="7:8" x14ac:dyDescent="0.3">
      <c r="G35" s="9"/>
    </row>
  </sheetData>
  <mergeCells count="6">
    <mergeCell ref="B1:F1"/>
    <mergeCell ref="C3:F3"/>
    <mergeCell ref="B8:C8"/>
    <mergeCell ref="E8:F8"/>
    <mergeCell ref="E26:E28"/>
    <mergeCell ref="F26:F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DO CONTRATO E CAPITALIZ</vt:lpstr>
      <vt:lpstr>tabela price_FINANCEIRA</vt:lpstr>
      <vt:lpstr>tabela price_BACEN</vt:lpstr>
      <vt:lpstr>diferenças</vt:lpstr>
      <vt:lpstr>RESUMO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Homero Lupo Medeiros</dc:creator>
  <cp:keywords/>
  <dc:description/>
  <cp:lastModifiedBy>Homero Medeiros</cp:lastModifiedBy>
  <cp:revision/>
  <dcterms:created xsi:type="dcterms:W3CDTF">2020-12-09T17:13:03Z</dcterms:created>
  <dcterms:modified xsi:type="dcterms:W3CDTF">2022-04-06T00:40:31Z</dcterms:modified>
  <cp:category/>
  <cp:contentStatus/>
</cp:coreProperties>
</file>