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190c61168eb4c48/Área de Trabalho/Curso - Turma 2/Aula 3.4/"/>
    </mc:Choice>
  </mc:AlternateContent>
  <xr:revisionPtr revIDLastSave="6" documentId="8_{D1D75FE5-26D5-4B96-A426-733BF8E37577}" xr6:coauthVersionLast="47" xr6:coauthVersionMax="47" xr10:uidLastSave="{4C7B025D-2673-4EF9-AF9E-67EFA49F2CC4}"/>
  <bookViews>
    <workbookView xWindow="-120" yWindow="-120" windowWidth="29040" windowHeight="15840" tabRatio="929" firstSheet="2" activeTab="16" xr2:uid="{BBEB210E-173F-4BA2-B17B-62EC44033815}"/>
  </bookViews>
  <sheets>
    <sheet name="ORÇAMENTO GERAL" sheetId="16" r:id="rId1"/>
    <sheet name="Vico Edificação" sheetId="3" r:id="rId2"/>
    <sheet name="VICO" sheetId="4" r:id="rId3"/>
    <sheet name="Classificação" sheetId="22" r:id="rId4"/>
    <sheet name="Classificação 2" sheetId="23" r:id="rId5"/>
    <sheet name="classificação dos custos - graf" sheetId="26" r:id="rId6"/>
    <sheet name="SEMANAS" sheetId="6" r:id="rId7"/>
    <sheet name="MTMO" sheetId="13" r:id="rId8"/>
    <sheet name="peso tarefas" sheetId="5" r:id="rId9"/>
    <sheet name="PLANEJADO" sheetId="7" r:id="rId10"/>
    <sheet name="EXECUTADO" sheetId="10" r:id="rId11"/>
    <sheet name="CURVA S" sheetId="8" r:id="rId12"/>
    <sheet name="Planilha15" sheetId="21" r:id="rId13"/>
    <sheet name="FC- edificação" sheetId="14" r:id="rId14"/>
    <sheet name="Planilha4" sheetId="29" r:id="rId15"/>
    <sheet name="FC - outros" sheetId="15" r:id="rId16"/>
    <sheet name="FLUXO DE CAIXA" sheetId="11" r:id="rId17"/>
    <sheet name="DASHBOARD" sheetId="9" state="hidden" r:id="rId18"/>
  </sheets>
  <definedNames>
    <definedName name="_xlnm._FilterDatabase" localSheetId="0" hidden="1">'ORÇAMENTO GERAL'!$A$1:$N$210</definedName>
    <definedName name="_xlnm._FilterDatabase" localSheetId="2" hidden="1">VICO!$A$2:$AA$131</definedName>
    <definedName name="_xlnm._FilterDatabase" localSheetId="1" hidden="1">'Vico Edificação'!$A$1:$J$1048540</definedName>
    <definedName name="_xlchart.v2.0" hidden="1">'classificação dos custos - graf'!$A$2:$A$9</definedName>
    <definedName name="_xlchart.v2.1" hidden="1">'classificação dos custos - graf'!$B$2:$B$9</definedName>
  </definedNames>
  <calcPr calcId="191029"/>
  <pivotCaches>
    <pivotCache cacheId="39" r:id="rId19"/>
    <pivotCache cacheId="40" r:id="rId20"/>
    <pivotCache cacheId="41" r:id="rId21"/>
    <pivotCache cacheId="42" r:id="rId22"/>
    <pivotCache cacheId="43" r:id="rId23"/>
    <pivotCache cacheId="44" r:id="rId2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45" i="11" l="1"/>
  <c r="W49" i="11"/>
  <c r="W48" i="11"/>
  <c r="W47" i="11"/>
  <c r="W56" i="11"/>
  <c r="W55" i="11"/>
  <c r="W54" i="11"/>
  <c r="W53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D45" i="11"/>
  <c r="G18" i="15"/>
  <c r="I18" i="15"/>
  <c r="J18" i="15"/>
  <c r="K18" i="15"/>
  <c r="L18" i="15"/>
  <c r="M18" i="15"/>
  <c r="N18" i="15"/>
  <c r="O18" i="15"/>
  <c r="P18" i="15"/>
  <c r="H12" i="15"/>
  <c r="H18" i="15" s="1"/>
  <c r="F11" i="15"/>
  <c r="F18" i="15" s="1"/>
  <c r="E55" i="11"/>
  <c r="B37" i="26" l="1"/>
  <c r="B27" i="26"/>
  <c r="C25" i="26" s="1"/>
  <c r="N22" i="16"/>
  <c r="N76" i="16"/>
  <c r="N10" i="16"/>
  <c r="N56" i="16"/>
  <c r="N21" i="16"/>
  <c r="C5" i="22"/>
  <c r="C6" i="22"/>
  <c r="C7" i="22"/>
  <c r="C8" i="22"/>
  <c r="C9" i="22"/>
  <c r="C4" i="22"/>
  <c r="N69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8" i="16"/>
  <c r="N189" i="16"/>
  <c r="N183" i="16"/>
  <c r="N182" i="16"/>
  <c r="N181" i="16"/>
  <c r="N180" i="16"/>
  <c r="N179" i="16"/>
  <c r="N172" i="16"/>
  <c r="N171" i="16"/>
  <c r="N160" i="16"/>
  <c r="N159" i="16"/>
  <c r="N158" i="16"/>
  <c r="N157" i="16"/>
  <c r="N156" i="16"/>
  <c r="N154" i="16"/>
  <c r="N153" i="16"/>
  <c r="N152" i="16"/>
  <c r="N150" i="16"/>
  <c r="N140" i="16"/>
  <c r="N139" i="16"/>
  <c r="N138" i="16"/>
  <c r="N137" i="16"/>
  <c r="N135" i="16"/>
  <c r="N134" i="16"/>
  <c r="N133" i="16"/>
  <c r="N131" i="16"/>
  <c r="N130" i="16"/>
  <c r="N129" i="16"/>
  <c r="N128" i="16"/>
  <c r="N127" i="16"/>
  <c r="N126" i="16"/>
  <c r="N125" i="16"/>
  <c r="N124" i="16"/>
  <c r="N123" i="16"/>
  <c r="N122" i="16"/>
  <c r="E49" i="11"/>
  <c r="J53" i="11"/>
  <c r="AG4" i="4"/>
  <c r="AF4" i="4"/>
  <c r="M133" i="4"/>
  <c r="M134" i="4" s="1"/>
  <c r="W52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I189" i="16"/>
  <c r="I187" i="16" s="1"/>
  <c r="I186" i="16"/>
  <c r="I185" i="16"/>
  <c r="I183" i="16"/>
  <c r="I182" i="16"/>
  <c r="I181" i="16"/>
  <c r="I180" i="16"/>
  <c r="I179" i="16"/>
  <c r="I177" i="16"/>
  <c r="I176" i="16"/>
  <c r="I175" i="16"/>
  <c r="I173" i="16"/>
  <c r="I172" i="16"/>
  <c r="I171" i="16"/>
  <c r="H169" i="16"/>
  <c r="I169" i="16" s="1"/>
  <c r="I168" i="16" s="1"/>
  <c r="H167" i="16"/>
  <c r="I167" i="16" s="1"/>
  <c r="I166" i="16" s="1"/>
  <c r="I164" i="16"/>
  <c r="I163" i="16"/>
  <c r="I162" i="16"/>
  <c r="I160" i="16"/>
  <c r="I159" i="16"/>
  <c r="I158" i="16"/>
  <c r="I157" i="16"/>
  <c r="I156" i="16"/>
  <c r="I154" i="16"/>
  <c r="I153" i="16"/>
  <c r="I152" i="16"/>
  <c r="I150" i="16"/>
  <c r="I149" i="16"/>
  <c r="I148" i="16"/>
  <c r="I146" i="16"/>
  <c r="I145" i="16"/>
  <c r="I144" i="16"/>
  <c r="I143" i="16"/>
  <c r="I140" i="16"/>
  <c r="I139" i="16"/>
  <c r="I138" i="16"/>
  <c r="I137" i="16"/>
  <c r="I135" i="16"/>
  <c r="I134" i="16"/>
  <c r="I133" i="16"/>
  <c r="I131" i="16"/>
  <c r="I130" i="16"/>
  <c r="I129" i="16"/>
  <c r="I128" i="16"/>
  <c r="I127" i="16"/>
  <c r="I126" i="16"/>
  <c r="I125" i="16"/>
  <c r="I124" i="16"/>
  <c r="I123" i="16"/>
  <c r="I122" i="16"/>
  <c r="I109" i="16"/>
  <c r="I108" i="16" s="1"/>
  <c r="I97" i="16"/>
  <c r="I96" i="16" s="1"/>
  <c r="H85" i="16"/>
  <c r="I85" i="16" s="1"/>
  <c r="I84" i="16" s="1"/>
  <c r="I82" i="16"/>
  <c r="I81" i="16"/>
  <c r="I80" i="16"/>
  <c r="I78" i="16"/>
  <c r="I77" i="16"/>
  <c r="I76" i="16"/>
  <c r="I74" i="16"/>
  <c r="I73" i="16"/>
  <c r="I72" i="16"/>
  <c r="I71" i="16"/>
  <c r="I69" i="16"/>
  <c r="I68" i="16"/>
  <c r="I66" i="16"/>
  <c r="I65" i="16"/>
  <c r="I63" i="16"/>
  <c r="I62" i="16"/>
  <c r="I61" i="16"/>
  <c r="I60" i="16"/>
  <c r="I59" i="16"/>
  <c r="I58" i="16"/>
  <c r="I56" i="16"/>
  <c r="I55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27" i="16"/>
  <c r="I24" i="16"/>
  <c r="I22" i="16"/>
  <c r="I21" i="16"/>
  <c r="I20" i="16"/>
  <c r="I19" i="16"/>
  <c r="I12" i="16"/>
  <c r="I11" i="16" s="1"/>
  <c r="I10" i="16"/>
  <c r="I9" i="16"/>
  <c r="I8" i="16"/>
  <c r="I5" i="16"/>
  <c r="I4" i="16" s="1"/>
  <c r="D7" i="11"/>
  <c r="E38" i="11"/>
  <c r="E7" i="11" s="1"/>
  <c r="D8" i="11" l="1"/>
  <c r="D10" i="11" s="1"/>
  <c r="D11" i="11" s="1"/>
  <c r="N20" i="16"/>
  <c r="C21" i="26"/>
  <c r="C22" i="26"/>
  <c r="C23" i="26"/>
  <c r="C24" i="26"/>
  <c r="W50" i="11"/>
  <c r="I184" i="16"/>
  <c r="I161" i="16"/>
  <c r="I70" i="16"/>
  <c r="I23" i="16"/>
  <c r="I170" i="16"/>
  <c r="I54" i="16"/>
  <c r="I67" i="16"/>
  <c r="I178" i="16"/>
  <c r="I147" i="16"/>
  <c r="I132" i="16"/>
  <c r="I136" i="16"/>
  <c r="I75" i="16"/>
  <c r="I79" i="16"/>
  <c r="I142" i="16"/>
  <c r="I155" i="16"/>
  <c r="I151" i="16"/>
  <c r="I7" i="16"/>
  <c r="I174" i="16"/>
  <c r="I121" i="16"/>
  <c r="I40" i="16"/>
  <c r="I18" i="16"/>
  <c r="I57" i="16"/>
  <c r="I83" i="16"/>
  <c r="I39" i="16" l="1"/>
  <c r="I165" i="16"/>
  <c r="I120" i="16"/>
  <c r="I3" i="16"/>
  <c r="I212" i="16" s="1"/>
  <c r="I141" i="16"/>
  <c r="H4" i="14"/>
  <c r="AC131" i="4"/>
  <c r="AE131" i="4" s="1"/>
  <c r="AB131" i="4"/>
  <c r="AC130" i="4"/>
  <c r="AB130" i="4"/>
  <c r="AD130" i="4" s="1"/>
  <c r="AC129" i="4"/>
  <c r="AE129" i="4" s="1"/>
  <c r="AB129" i="4"/>
  <c r="AD129" i="4" s="1"/>
  <c r="AC128" i="4"/>
  <c r="AB128" i="4"/>
  <c r="AD128" i="4" s="1"/>
  <c r="AC126" i="4"/>
  <c r="AE126" i="4" s="1"/>
  <c r="AB126" i="4"/>
  <c r="AD126" i="4" s="1"/>
  <c r="AC125" i="4"/>
  <c r="AE125" i="4" s="1"/>
  <c r="AB125" i="4"/>
  <c r="AD125" i="4" s="1"/>
  <c r="AC124" i="4"/>
  <c r="AE124" i="4" s="1"/>
  <c r="AB124" i="4"/>
  <c r="AC123" i="4"/>
  <c r="AB123" i="4"/>
  <c r="AD123" i="4" s="1"/>
  <c r="AC121" i="4"/>
  <c r="AE121" i="4" s="1"/>
  <c r="AB121" i="4"/>
  <c r="AD121" i="4" s="1"/>
  <c r="AC119" i="4"/>
  <c r="AB119" i="4"/>
  <c r="AD119" i="4" s="1"/>
  <c r="AC117" i="4"/>
  <c r="AE117" i="4" s="1"/>
  <c r="AB117" i="4"/>
  <c r="AC115" i="4"/>
  <c r="AE115" i="4" s="1"/>
  <c r="AB115" i="4"/>
  <c r="AD115" i="4" s="1"/>
  <c r="AC114" i="4"/>
  <c r="AE114" i="4" s="1"/>
  <c r="AB114" i="4"/>
  <c r="AD114" i="4" s="1"/>
  <c r="AC113" i="4"/>
  <c r="AB113" i="4"/>
  <c r="AD113" i="4" s="1"/>
  <c r="AC112" i="4"/>
  <c r="AE112" i="4" s="1"/>
  <c r="AB112" i="4"/>
  <c r="AD112" i="4" s="1"/>
  <c r="AC110" i="4"/>
  <c r="AB110" i="4"/>
  <c r="AC109" i="4"/>
  <c r="AB109" i="4"/>
  <c r="AD109" i="4" s="1"/>
  <c r="AC108" i="4"/>
  <c r="AE108" i="4" s="1"/>
  <c r="AB108" i="4"/>
  <c r="AD108" i="4" s="1"/>
  <c r="AC107" i="4"/>
  <c r="AE107" i="4" s="1"/>
  <c r="AB107" i="4"/>
  <c r="AC105" i="4"/>
  <c r="AB105" i="4"/>
  <c r="AD105" i="4" s="1"/>
  <c r="AC104" i="4"/>
  <c r="AE104" i="4" s="1"/>
  <c r="AB104" i="4"/>
  <c r="AD104" i="4" s="1"/>
  <c r="AC103" i="4"/>
  <c r="AB103" i="4"/>
  <c r="AD103" i="4" s="1"/>
  <c r="AC102" i="4"/>
  <c r="AE102" i="4" s="1"/>
  <c r="AB102" i="4"/>
  <c r="AD102" i="4" s="1"/>
  <c r="AC100" i="4"/>
  <c r="AE100" i="4" s="1"/>
  <c r="AB100" i="4"/>
  <c r="AD100" i="4" s="1"/>
  <c r="AC99" i="4"/>
  <c r="AE99" i="4" s="1"/>
  <c r="AB99" i="4"/>
  <c r="AC98" i="4"/>
  <c r="AB98" i="4"/>
  <c r="AD98" i="4" s="1"/>
  <c r="AC97" i="4"/>
  <c r="AE97" i="4" s="1"/>
  <c r="AB97" i="4"/>
  <c r="AD97" i="4" s="1"/>
  <c r="AC95" i="4"/>
  <c r="AB95" i="4"/>
  <c r="AC94" i="4"/>
  <c r="AE94" i="4" s="1"/>
  <c r="AB94" i="4"/>
  <c r="AD94" i="4" s="1"/>
  <c r="AC93" i="4"/>
  <c r="AE93" i="4" s="1"/>
  <c r="AB93" i="4"/>
  <c r="AD93" i="4" s="1"/>
  <c r="AC92" i="4"/>
  <c r="AE92" i="4" s="1"/>
  <c r="AB92" i="4"/>
  <c r="AC90" i="4"/>
  <c r="AE90" i="4" s="1"/>
  <c r="AB90" i="4"/>
  <c r="AD90" i="4" s="1"/>
  <c r="AC89" i="4"/>
  <c r="AE89" i="4" s="1"/>
  <c r="AB89" i="4"/>
  <c r="AD89" i="4" s="1"/>
  <c r="AC88" i="4"/>
  <c r="AE88" i="4" s="1"/>
  <c r="AB88" i="4"/>
  <c r="AC86" i="4"/>
  <c r="AB86" i="4"/>
  <c r="AD86" i="4" s="1"/>
  <c r="AC85" i="4"/>
  <c r="AE85" i="4" s="1"/>
  <c r="AB85" i="4"/>
  <c r="AD85" i="4" s="1"/>
  <c r="AC84" i="4"/>
  <c r="AE84" i="4" s="1"/>
  <c r="AB84" i="4"/>
  <c r="AC83" i="4"/>
  <c r="AB83" i="4"/>
  <c r="AD83" i="4" s="1"/>
  <c r="AC81" i="4"/>
  <c r="AE81" i="4" s="1"/>
  <c r="AB81" i="4"/>
  <c r="AD81" i="4" s="1"/>
  <c r="AC80" i="4"/>
  <c r="AB80" i="4"/>
  <c r="AD80" i="4" s="1"/>
  <c r="AC79" i="4"/>
  <c r="AE79" i="4" s="1"/>
  <c r="AB79" i="4"/>
  <c r="AD79" i="4" s="1"/>
  <c r="AC78" i="4"/>
  <c r="AE78" i="4" s="1"/>
  <c r="AB78" i="4"/>
  <c r="AD78" i="4" s="1"/>
  <c r="AC76" i="4"/>
  <c r="AE76" i="4" s="1"/>
  <c r="AB76" i="4"/>
  <c r="AC75" i="4"/>
  <c r="AB75" i="4"/>
  <c r="AD75" i="4" s="1"/>
  <c r="AC74" i="4"/>
  <c r="AE74" i="4" s="1"/>
  <c r="AB74" i="4"/>
  <c r="AD74" i="4" s="1"/>
  <c r="AC73" i="4"/>
  <c r="AB73" i="4"/>
  <c r="AC71" i="4"/>
  <c r="AE71" i="4" s="1"/>
  <c r="AB71" i="4"/>
  <c r="AD71" i="4" s="1"/>
  <c r="AC70" i="4"/>
  <c r="AE70" i="4" s="1"/>
  <c r="AB70" i="4"/>
  <c r="AD70" i="4" s="1"/>
  <c r="AC69" i="4"/>
  <c r="AE69" i="4" s="1"/>
  <c r="AB69" i="4"/>
  <c r="AC68" i="4"/>
  <c r="AB68" i="4"/>
  <c r="AD68" i="4" s="1"/>
  <c r="AC66" i="4"/>
  <c r="AE66" i="4" s="1"/>
  <c r="AB66" i="4"/>
  <c r="AD66" i="4" s="1"/>
  <c r="AC65" i="4"/>
  <c r="AB65" i="4"/>
  <c r="AD65" i="4" s="1"/>
  <c r="AC64" i="4"/>
  <c r="AE64" i="4" s="1"/>
  <c r="AB64" i="4"/>
  <c r="AD64" i="4" s="1"/>
  <c r="AC63" i="4"/>
  <c r="AE63" i="4" s="1"/>
  <c r="AB63" i="4"/>
  <c r="AD63" i="4" s="1"/>
  <c r="AC61" i="4"/>
  <c r="AE61" i="4" s="1"/>
  <c r="AB61" i="4"/>
  <c r="AC60" i="4"/>
  <c r="AE60" i="4" s="1"/>
  <c r="AB60" i="4"/>
  <c r="AD60" i="4" s="1"/>
  <c r="AC59" i="4"/>
  <c r="AE59" i="4" s="1"/>
  <c r="AB59" i="4"/>
  <c r="AD59" i="4" s="1"/>
  <c r="AC58" i="4"/>
  <c r="AB58" i="4"/>
  <c r="AD58" i="4" s="1"/>
  <c r="AC56" i="4"/>
  <c r="AE56" i="4" s="1"/>
  <c r="AB56" i="4"/>
  <c r="AD56" i="4" s="1"/>
  <c r="AC55" i="4"/>
  <c r="AE55" i="4" s="1"/>
  <c r="AB55" i="4"/>
  <c r="AD55" i="4" s="1"/>
  <c r="AC54" i="4"/>
  <c r="AE54" i="4" s="1"/>
  <c r="AB54" i="4"/>
  <c r="AD54" i="4" s="1"/>
  <c r="AC53" i="4"/>
  <c r="AB53" i="4"/>
  <c r="AD53" i="4" s="1"/>
  <c r="AC51" i="4"/>
  <c r="AE51" i="4" s="1"/>
  <c r="AB51" i="4"/>
  <c r="AD51" i="4" s="1"/>
  <c r="AC50" i="4"/>
  <c r="AB50" i="4"/>
  <c r="AC49" i="4"/>
  <c r="AE49" i="4" s="1"/>
  <c r="AB49" i="4"/>
  <c r="AD49" i="4" s="1"/>
  <c r="AC48" i="4"/>
  <c r="AE48" i="4" s="1"/>
  <c r="AB48" i="4"/>
  <c r="AD48" i="4" s="1"/>
  <c r="AC46" i="4"/>
  <c r="AE46" i="4" s="1"/>
  <c r="AB46" i="4"/>
  <c r="AC45" i="4"/>
  <c r="AE45" i="4" s="1"/>
  <c r="AB45" i="4"/>
  <c r="AD45" i="4" s="1"/>
  <c r="AC44" i="4"/>
  <c r="AE44" i="4" s="1"/>
  <c r="AB44" i="4"/>
  <c r="AD44" i="4" s="1"/>
  <c r="AC43" i="4"/>
  <c r="AB43" i="4"/>
  <c r="AC42" i="4"/>
  <c r="AE42" i="4" s="1"/>
  <c r="AB42" i="4"/>
  <c r="AD42" i="4" s="1"/>
  <c r="AC40" i="4"/>
  <c r="AE40" i="4" s="1"/>
  <c r="AB40" i="4"/>
  <c r="AD40" i="4" s="1"/>
  <c r="AC39" i="4"/>
  <c r="AE39" i="4" s="1"/>
  <c r="AB39" i="4"/>
  <c r="AD39" i="4" s="1"/>
  <c r="AC38" i="4"/>
  <c r="AB38" i="4"/>
  <c r="AD38" i="4" s="1"/>
  <c r="AC37" i="4"/>
  <c r="AE37" i="4" s="1"/>
  <c r="AB37" i="4"/>
  <c r="AD37" i="4" s="1"/>
  <c r="AC35" i="4"/>
  <c r="AE35" i="4" s="1"/>
  <c r="AB35" i="4"/>
  <c r="AD35" i="4" s="1"/>
  <c r="AC34" i="4"/>
  <c r="AB34" i="4"/>
  <c r="AD34" i="4" s="1"/>
  <c r="AC33" i="4"/>
  <c r="AE33" i="4" s="1"/>
  <c r="AB33" i="4"/>
  <c r="AD33" i="4" s="1"/>
  <c r="AC32" i="4"/>
  <c r="AE32" i="4" s="1"/>
  <c r="AB32" i="4"/>
  <c r="AD32" i="4" s="1"/>
  <c r="AC30" i="4"/>
  <c r="AE30" i="4" s="1"/>
  <c r="AB30" i="4"/>
  <c r="AD30" i="4" s="1"/>
  <c r="AC29" i="4"/>
  <c r="AE29" i="4" s="1"/>
  <c r="AB29" i="4"/>
  <c r="AD29" i="4" s="1"/>
  <c r="AC28" i="4"/>
  <c r="AE28" i="4" s="1"/>
  <c r="AB28" i="4"/>
  <c r="AC27" i="4"/>
  <c r="AE27" i="4" s="1"/>
  <c r="AB27" i="4"/>
  <c r="AD27" i="4" s="1"/>
  <c r="AC26" i="4"/>
  <c r="AE26" i="4" s="1"/>
  <c r="AB26" i="4"/>
  <c r="AD26" i="4" s="1"/>
  <c r="AC25" i="4"/>
  <c r="AE25" i="4" s="1"/>
  <c r="AB25" i="4"/>
  <c r="AC23" i="4"/>
  <c r="AB23" i="4"/>
  <c r="AD23" i="4" s="1"/>
  <c r="AC22" i="4"/>
  <c r="AB22" i="4"/>
  <c r="AD22" i="4" s="1"/>
  <c r="AC21" i="4"/>
  <c r="AE21" i="4" s="1"/>
  <c r="AB21" i="4"/>
  <c r="AD21" i="4" s="1"/>
  <c r="AC20" i="4"/>
  <c r="AE20" i="4" s="1"/>
  <c r="AB20" i="4"/>
  <c r="AD20" i="4" s="1"/>
  <c r="AC18" i="4"/>
  <c r="AE18" i="4" s="1"/>
  <c r="AB18" i="4"/>
  <c r="AD18" i="4" s="1"/>
  <c r="AC17" i="4"/>
  <c r="AE17" i="4" s="1"/>
  <c r="AB17" i="4"/>
  <c r="AD17" i="4" s="1"/>
  <c r="AC16" i="4"/>
  <c r="AE16" i="4" s="1"/>
  <c r="AB16" i="4"/>
  <c r="AD16" i="4" s="1"/>
  <c r="AC15" i="4"/>
  <c r="AE15" i="4" s="1"/>
  <c r="AB15" i="4"/>
  <c r="AD15" i="4" s="1"/>
  <c r="AC14" i="4"/>
  <c r="AE14" i="4" s="1"/>
  <c r="AB14" i="4"/>
  <c r="AC12" i="4"/>
  <c r="AE12" i="4" s="1"/>
  <c r="AB12" i="4"/>
  <c r="AD12" i="4" s="1"/>
  <c r="AC10" i="4"/>
  <c r="AE10" i="4" s="1"/>
  <c r="AB10" i="4"/>
  <c r="AD10" i="4" s="1"/>
  <c r="AC8" i="4"/>
  <c r="AE8" i="4" s="1"/>
  <c r="AB8" i="4"/>
  <c r="AC6" i="4"/>
  <c r="AE6" i="4" s="1"/>
  <c r="AB6" i="4"/>
  <c r="AD6" i="4" s="1"/>
  <c r="AC4" i="4"/>
  <c r="AE4" i="4" s="1"/>
  <c r="AB4" i="4"/>
  <c r="AD4" i="4" s="1"/>
  <c r="AD73" i="4"/>
  <c r="AD61" i="4"/>
  <c r="AD43" i="4"/>
  <c r="AD117" i="4"/>
  <c r="AG131" i="4"/>
  <c r="AF131" i="4"/>
  <c r="AG130" i="4"/>
  <c r="AF130" i="4"/>
  <c r="AG129" i="4"/>
  <c r="AF129" i="4"/>
  <c r="AG128" i="4"/>
  <c r="AF128" i="4"/>
  <c r="AG126" i="4"/>
  <c r="AF126" i="4"/>
  <c r="AG125" i="4"/>
  <c r="AF125" i="4"/>
  <c r="AG124" i="4"/>
  <c r="AF124" i="4"/>
  <c r="AG123" i="4"/>
  <c r="AF123" i="4"/>
  <c r="AG121" i="4"/>
  <c r="AF121" i="4"/>
  <c r="AG119" i="4"/>
  <c r="AF119" i="4"/>
  <c r="AG117" i="4"/>
  <c r="AF117" i="4"/>
  <c r="AG115" i="4"/>
  <c r="AF115" i="4"/>
  <c r="AG114" i="4"/>
  <c r="AF114" i="4"/>
  <c r="AG113" i="4"/>
  <c r="AF113" i="4"/>
  <c r="AG112" i="4"/>
  <c r="AF112" i="4"/>
  <c r="AG110" i="4"/>
  <c r="AF110" i="4"/>
  <c r="AG109" i="4"/>
  <c r="AF109" i="4"/>
  <c r="AG108" i="4"/>
  <c r="AF108" i="4"/>
  <c r="AG107" i="4"/>
  <c r="AF107" i="4"/>
  <c r="AG105" i="4"/>
  <c r="AF105" i="4"/>
  <c r="AG104" i="4"/>
  <c r="AF104" i="4"/>
  <c r="AG103" i="4"/>
  <c r="AF103" i="4"/>
  <c r="AG102" i="4"/>
  <c r="AF102" i="4"/>
  <c r="AG100" i="4"/>
  <c r="AF100" i="4"/>
  <c r="AG99" i="4"/>
  <c r="AF99" i="4"/>
  <c r="AG98" i="4"/>
  <c r="AF98" i="4"/>
  <c r="AG97" i="4"/>
  <c r="AF97" i="4"/>
  <c r="AG95" i="4"/>
  <c r="AF95" i="4"/>
  <c r="AG94" i="4"/>
  <c r="AF94" i="4"/>
  <c r="AG93" i="4"/>
  <c r="AF93" i="4"/>
  <c r="AG92" i="4"/>
  <c r="AF92" i="4"/>
  <c r="AG90" i="4"/>
  <c r="AF90" i="4"/>
  <c r="AG89" i="4"/>
  <c r="AF89" i="4"/>
  <c r="AG88" i="4"/>
  <c r="AF88" i="4"/>
  <c r="AG86" i="4"/>
  <c r="AF86" i="4"/>
  <c r="AG85" i="4"/>
  <c r="AF85" i="4"/>
  <c r="AG84" i="4"/>
  <c r="AF84" i="4"/>
  <c r="AG83" i="4"/>
  <c r="AF83" i="4"/>
  <c r="AG81" i="4"/>
  <c r="AF81" i="4"/>
  <c r="AG80" i="4"/>
  <c r="AF80" i="4"/>
  <c r="AG79" i="4"/>
  <c r="AF79" i="4"/>
  <c r="AG78" i="4"/>
  <c r="AF78" i="4"/>
  <c r="AG76" i="4"/>
  <c r="AF76" i="4"/>
  <c r="AG75" i="4"/>
  <c r="AF75" i="4"/>
  <c r="AG74" i="4"/>
  <c r="AF74" i="4"/>
  <c r="AG73" i="4"/>
  <c r="AF73" i="4"/>
  <c r="AG71" i="4"/>
  <c r="AF71" i="4"/>
  <c r="AG70" i="4"/>
  <c r="AF70" i="4"/>
  <c r="AG69" i="4"/>
  <c r="AF69" i="4"/>
  <c r="AG68" i="4"/>
  <c r="AF68" i="4"/>
  <c r="AG66" i="4"/>
  <c r="AF66" i="4"/>
  <c r="AG65" i="4"/>
  <c r="AF65" i="4"/>
  <c r="AG64" i="4"/>
  <c r="AF64" i="4"/>
  <c r="AG63" i="4"/>
  <c r="AF63" i="4"/>
  <c r="AG61" i="4"/>
  <c r="AF61" i="4"/>
  <c r="AG60" i="4"/>
  <c r="AF60" i="4"/>
  <c r="AG59" i="4"/>
  <c r="AF59" i="4"/>
  <c r="AG58" i="4"/>
  <c r="AF58" i="4"/>
  <c r="AG56" i="4"/>
  <c r="AF56" i="4"/>
  <c r="AG55" i="4"/>
  <c r="AF55" i="4"/>
  <c r="AG54" i="4"/>
  <c r="AF54" i="4"/>
  <c r="AG53" i="4"/>
  <c r="AF53" i="4"/>
  <c r="AG51" i="4"/>
  <c r="AF51" i="4"/>
  <c r="AG50" i="4"/>
  <c r="AF50" i="4"/>
  <c r="AG49" i="4"/>
  <c r="AF49" i="4"/>
  <c r="AG48" i="4"/>
  <c r="AF48" i="4"/>
  <c r="AG46" i="4"/>
  <c r="AF46" i="4"/>
  <c r="AG45" i="4"/>
  <c r="AF45" i="4"/>
  <c r="AG44" i="4"/>
  <c r="AF44" i="4"/>
  <c r="AG43" i="4"/>
  <c r="AF43" i="4"/>
  <c r="AG42" i="4"/>
  <c r="AF42" i="4"/>
  <c r="AG40" i="4"/>
  <c r="AF40" i="4"/>
  <c r="AG39" i="4"/>
  <c r="AF39" i="4"/>
  <c r="AG38" i="4"/>
  <c r="AF38" i="4"/>
  <c r="AG37" i="4"/>
  <c r="AF37" i="4"/>
  <c r="AG35" i="4"/>
  <c r="AF35" i="4"/>
  <c r="AG34" i="4"/>
  <c r="AF34" i="4"/>
  <c r="AG33" i="4"/>
  <c r="AF33" i="4"/>
  <c r="AG32" i="4"/>
  <c r="AF32" i="4"/>
  <c r="AG30" i="4"/>
  <c r="AF30" i="4"/>
  <c r="AG29" i="4"/>
  <c r="AF29" i="4"/>
  <c r="AG28" i="4"/>
  <c r="AF28" i="4"/>
  <c r="AG27" i="4"/>
  <c r="AF27" i="4"/>
  <c r="AG26" i="4"/>
  <c r="AF26" i="4"/>
  <c r="AG25" i="4"/>
  <c r="AF25" i="4"/>
  <c r="AG23" i="4"/>
  <c r="AF23" i="4"/>
  <c r="AG22" i="4"/>
  <c r="AF22" i="4"/>
  <c r="AG21" i="4"/>
  <c r="AF21" i="4"/>
  <c r="AG20" i="4"/>
  <c r="AF20" i="4"/>
  <c r="AG18" i="4"/>
  <c r="AF18" i="4"/>
  <c r="AG17" i="4"/>
  <c r="AF17" i="4"/>
  <c r="AG16" i="4"/>
  <c r="AF16" i="4"/>
  <c r="AG15" i="4"/>
  <c r="AF15" i="4"/>
  <c r="AG14" i="4"/>
  <c r="AF14" i="4"/>
  <c r="AG12" i="4"/>
  <c r="AF12" i="4"/>
  <c r="AG10" i="4"/>
  <c r="AF10" i="4"/>
  <c r="AG8" i="4"/>
  <c r="AF8" i="4"/>
  <c r="AG6" i="4"/>
  <c r="AF6" i="4"/>
  <c r="AE130" i="4"/>
  <c r="AE128" i="4"/>
  <c r="AE123" i="4"/>
  <c r="AE119" i="4"/>
  <c r="AE113" i="4"/>
  <c r="AE110" i="4"/>
  <c r="AE109" i="4"/>
  <c r="AE105" i="4"/>
  <c r="AE103" i="4"/>
  <c r="AE98" i="4"/>
  <c r="AE95" i="4"/>
  <c r="AE86" i="4"/>
  <c r="AE83" i="4"/>
  <c r="AE80" i="4"/>
  <c r="AE75" i="4"/>
  <c r="AE73" i="4"/>
  <c r="AE68" i="4"/>
  <c r="AE65" i="4"/>
  <c r="AE58" i="4"/>
  <c r="AE53" i="4"/>
  <c r="AE50" i="4"/>
  <c r="AE43" i="4"/>
  <c r="AE38" i="4"/>
  <c r="AE34" i="4"/>
  <c r="AE23" i="4"/>
  <c r="AE22" i="4"/>
  <c r="AD131" i="4"/>
  <c r="AD124" i="4"/>
  <c r="AD110" i="4"/>
  <c r="AD107" i="4"/>
  <c r="AD99" i="4"/>
  <c r="AD95" i="4"/>
  <c r="AD92" i="4"/>
  <c r="AD88" i="4"/>
  <c r="AD84" i="4"/>
  <c r="AD76" i="4"/>
  <c r="AD69" i="4"/>
  <c r="AD50" i="4"/>
  <c r="AD46" i="4"/>
  <c r="AD28" i="4"/>
  <c r="AD25" i="4"/>
  <c r="AD14" i="4"/>
  <c r="AD8" i="4"/>
  <c r="I70" i="3"/>
  <c r="F38" i="11"/>
  <c r="F7" i="11" s="1"/>
  <c r="G38" i="11"/>
  <c r="G7" i="11" s="1"/>
  <c r="H38" i="11"/>
  <c r="H7" i="11" s="1"/>
  <c r="I38" i="11"/>
  <c r="I7" i="11" s="1"/>
  <c r="J38" i="11"/>
  <c r="J7" i="11" s="1"/>
  <c r="K38" i="11"/>
  <c r="K7" i="11" s="1"/>
  <c r="L38" i="11"/>
  <c r="L7" i="11" s="1"/>
  <c r="M38" i="11"/>
  <c r="M7" i="11" s="1"/>
  <c r="N38" i="11"/>
  <c r="N7" i="11" s="1"/>
  <c r="O38" i="11"/>
  <c r="O7" i="11" s="1"/>
  <c r="P38" i="11"/>
  <c r="P7" i="11" s="1"/>
  <c r="Q38" i="11"/>
  <c r="Q7" i="11" s="1"/>
  <c r="R38" i="11"/>
  <c r="R7" i="11" s="1"/>
  <c r="S38" i="11"/>
  <c r="S7" i="11" s="1"/>
  <c r="T38" i="11"/>
  <c r="T7" i="11" s="1"/>
  <c r="U38" i="11"/>
  <c r="U7" i="11" s="1"/>
  <c r="W39" i="11"/>
  <c r="S4" i="14"/>
  <c r="R4" i="14"/>
  <c r="Q4" i="14"/>
  <c r="P4" i="14"/>
  <c r="O4" i="14"/>
  <c r="N4" i="14"/>
  <c r="M4" i="14"/>
  <c r="L4" i="14"/>
  <c r="K4" i="14"/>
  <c r="J4" i="14"/>
  <c r="I4" i="14"/>
  <c r="I213" i="16" l="1"/>
  <c r="K8" i="11"/>
  <c r="K10" i="11" s="1"/>
  <c r="I8" i="11"/>
  <c r="I10" i="11" s="1"/>
  <c r="T8" i="11"/>
  <c r="T10" i="11" s="1"/>
  <c r="H8" i="11"/>
  <c r="H10" i="11" s="1"/>
  <c r="S8" i="11"/>
  <c r="S10" i="11" s="1"/>
  <c r="G8" i="11"/>
  <c r="G10" i="11" s="1"/>
  <c r="R8" i="11"/>
  <c r="R10" i="11" s="1"/>
  <c r="F8" i="11"/>
  <c r="F10" i="11" s="1"/>
  <c r="Q8" i="11"/>
  <c r="Q10" i="11" s="1"/>
  <c r="P8" i="11"/>
  <c r="P10" i="11" s="1"/>
  <c r="E8" i="11"/>
  <c r="O8" i="11"/>
  <c r="O10" i="11" s="1"/>
  <c r="J8" i="11"/>
  <c r="J10" i="11" s="1"/>
  <c r="N8" i="11"/>
  <c r="N10" i="11" s="1"/>
  <c r="M8" i="11"/>
  <c r="M10" i="11" s="1"/>
  <c r="U8" i="11"/>
  <c r="U10" i="11" s="1"/>
  <c r="L8" i="11"/>
  <c r="L10" i="11" s="1"/>
  <c r="W38" i="11"/>
  <c r="I214" i="16" l="1"/>
  <c r="J212" i="16" s="1"/>
  <c r="E10" i="11"/>
  <c r="E11" i="11" s="1"/>
  <c r="F11" i="11" s="1"/>
  <c r="G11" i="11" s="1"/>
  <c r="H11" i="11" s="1"/>
  <c r="I11" i="11" s="1"/>
  <c r="J11" i="11" s="1"/>
  <c r="K11" i="11" s="1"/>
  <c r="L11" i="11" s="1"/>
  <c r="M11" i="11" s="1"/>
  <c r="N11" i="11" s="1"/>
  <c r="O11" i="11" s="1"/>
  <c r="P11" i="11" s="1"/>
  <c r="Q11" i="11" s="1"/>
  <c r="R11" i="11" s="1"/>
  <c r="S11" i="11" s="1"/>
  <c r="T11" i="11" s="1"/>
  <c r="U11" i="11" s="1"/>
  <c r="W8" i="11"/>
  <c r="W7" i="11"/>
  <c r="J213" i="16" l="1"/>
  <c r="W10" i="11"/>
  <c r="S131" i="4"/>
  <c r="S130" i="4"/>
  <c r="S129" i="4"/>
  <c r="S128" i="4"/>
  <c r="S126" i="4"/>
  <c r="S125" i="4"/>
  <c r="S124" i="4"/>
  <c r="S123" i="4"/>
  <c r="S121" i="4"/>
  <c r="S119" i="4"/>
  <c r="S117" i="4"/>
  <c r="S115" i="4"/>
  <c r="S114" i="4"/>
  <c r="S113" i="4"/>
  <c r="S112" i="4"/>
  <c r="S110" i="4"/>
  <c r="S109" i="4"/>
  <c r="S108" i="4"/>
  <c r="S107" i="4"/>
  <c r="S105" i="4"/>
  <c r="S104" i="4"/>
  <c r="S103" i="4"/>
  <c r="S102" i="4"/>
  <c r="S100" i="4"/>
  <c r="S99" i="4"/>
  <c r="S98" i="4"/>
  <c r="S97" i="4"/>
  <c r="S95" i="4"/>
  <c r="S94" i="4"/>
  <c r="S93" i="4"/>
  <c r="S92" i="4"/>
  <c r="S90" i="4"/>
  <c r="S89" i="4"/>
  <c r="S88" i="4"/>
  <c r="S86" i="4"/>
  <c r="S85" i="4"/>
  <c r="S84" i="4"/>
  <c r="S83" i="4"/>
  <c r="S81" i="4"/>
  <c r="S80" i="4"/>
  <c r="S79" i="4"/>
  <c r="S78" i="4"/>
  <c r="S76" i="4"/>
  <c r="S75" i="4"/>
  <c r="S74" i="4"/>
  <c r="S73" i="4"/>
  <c r="S71" i="4"/>
  <c r="S70" i="4"/>
  <c r="S69" i="4"/>
  <c r="S68" i="4"/>
  <c r="S66" i="4"/>
  <c r="S65" i="4"/>
  <c r="S64" i="4"/>
  <c r="S63" i="4"/>
  <c r="S61" i="4"/>
  <c r="S60" i="4"/>
  <c r="S59" i="4"/>
  <c r="S58" i="4"/>
  <c r="S56" i="4"/>
  <c r="S55" i="4"/>
  <c r="S54" i="4"/>
  <c r="S53" i="4"/>
  <c r="S51" i="4"/>
  <c r="S50" i="4"/>
  <c r="S49" i="4"/>
  <c r="S48" i="4"/>
  <c r="S46" i="4"/>
  <c r="S45" i="4"/>
  <c r="S44" i="4"/>
  <c r="S43" i="4"/>
  <c r="S42" i="4"/>
  <c r="S40" i="4"/>
  <c r="S39" i="4"/>
  <c r="S38" i="4"/>
  <c r="S37" i="4"/>
  <c r="S35" i="4"/>
  <c r="S34" i="4"/>
  <c r="S33" i="4"/>
  <c r="S32" i="4"/>
  <c r="S30" i="4"/>
  <c r="S29" i="4"/>
  <c r="S28" i="4"/>
  <c r="S27" i="4"/>
  <c r="S26" i="4"/>
  <c r="S25" i="4"/>
  <c r="S23" i="4"/>
  <c r="S22" i="4"/>
  <c r="S21" i="4"/>
  <c r="S20" i="4"/>
  <c r="S18" i="4"/>
  <c r="S17" i="4"/>
  <c r="S16" i="4"/>
  <c r="S15" i="4"/>
  <c r="S14" i="4"/>
  <c r="S12" i="4"/>
  <c r="S10" i="4"/>
  <c r="S8" i="4"/>
  <c r="S6" i="4"/>
  <c r="S4" i="4"/>
  <c r="C21" i="9"/>
  <c r="D6" i="9"/>
  <c r="G5" i="9" s="1"/>
  <c r="G6" i="9" s="1"/>
  <c r="G4" i="9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" i="8"/>
  <c r="C5" i="8"/>
  <c r="C6" i="8"/>
  <c r="C7" i="8"/>
  <c r="C8" i="8"/>
  <c r="C9" i="8"/>
  <c r="C10" i="8"/>
  <c r="C11" i="8"/>
  <c r="C12" i="8"/>
  <c r="C13" i="8"/>
  <c r="C14" i="8"/>
  <c r="C15" i="8"/>
  <c r="C3" i="8"/>
  <c r="D3" i="8" s="1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K3" i="4"/>
  <c r="C9" i="6"/>
  <c r="C16" i="6" s="1"/>
  <c r="C23" i="6" s="1"/>
  <c r="C30" i="6" s="1"/>
  <c r="C37" i="6" s="1"/>
  <c r="C44" i="6" s="1"/>
  <c r="C51" i="6" s="1"/>
  <c r="C58" i="6" s="1"/>
  <c r="C65" i="6" s="1"/>
  <c r="C72" i="6" s="1"/>
  <c r="C79" i="6" s="1"/>
  <c r="C86" i="6" s="1"/>
  <c r="C93" i="6" s="1"/>
  <c r="C100" i="6" s="1"/>
  <c r="C107" i="6" s="1"/>
  <c r="C114" i="6" s="1"/>
  <c r="C121" i="6" s="1"/>
  <c r="C128" i="6" s="1"/>
  <c r="C135" i="6" s="1"/>
  <c r="C142" i="6" s="1"/>
  <c r="C149" i="6" s="1"/>
  <c r="C156" i="6" s="1"/>
  <c r="C163" i="6" s="1"/>
  <c r="C170" i="6" s="1"/>
  <c r="C177" i="6" s="1"/>
  <c r="C184" i="6" s="1"/>
  <c r="C191" i="6" s="1"/>
  <c r="C198" i="6" s="1"/>
  <c r="C205" i="6" s="1"/>
  <c r="C212" i="6" s="1"/>
  <c r="C219" i="6" s="1"/>
  <c r="C226" i="6" s="1"/>
  <c r="C233" i="6" s="1"/>
  <c r="C240" i="6" s="1"/>
  <c r="C247" i="6" s="1"/>
  <c r="C254" i="6" s="1"/>
  <c r="C261" i="6" s="1"/>
  <c r="C268" i="6" s="1"/>
  <c r="C275" i="6" s="1"/>
  <c r="C282" i="6" s="1"/>
  <c r="C289" i="6" s="1"/>
  <c r="C296" i="6" s="1"/>
  <c r="C10" i="6"/>
  <c r="C17" i="6" s="1"/>
  <c r="C24" i="6" s="1"/>
  <c r="C31" i="6" s="1"/>
  <c r="C38" i="6" s="1"/>
  <c r="C45" i="6" s="1"/>
  <c r="C52" i="6" s="1"/>
  <c r="C59" i="6" s="1"/>
  <c r="C66" i="6" s="1"/>
  <c r="C73" i="6" s="1"/>
  <c r="C80" i="6" s="1"/>
  <c r="C87" i="6" s="1"/>
  <c r="C94" i="6" s="1"/>
  <c r="C101" i="6" s="1"/>
  <c r="C108" i="6" s="1"/>
  <c r="C115" i="6" s="1"/>
  <c r="C122" i="6" s="1"/>
  <c r="C129" i="6" s="1"/>
  <c r="C136" i="6" s="1"/>
  <c r="C143" i="6" s="1"/>
  <c r="C150" i="6" s="1"/>
  <c r="C157" i="6" s="1"/>
  <c r="C164" i="6" s="1"/>
  <c r="C171" i="6" s="1"/>
  <c r="C178" i="6" s="1"/>
  <c r="C185" i="6" s="1"/>
  <c r="C192" i="6" s="1"/>
  <c r="C199" i="6" s="1"/>
  <c r="C206" i="6" s="1"/>
  <c r="C213" i="6" s="1"/>
  <c r="C220" i="6" s="1"/>
  <c r="C227" i="6" s="1"/>
  <c r="C234" i="6" s="1"/>
  <c r="C241" i="6" s="1"/>
  <c r="C248" i="6" s="1"/>
  <c r="C255" i="6" s="1"/>
  <c r="C262" i="6" s="1"/>
  <c r="C269" i="6" s="1"/>
  <c r="C276" i="6" s="1"/>
  <c r="C283" i="6" s="1"/>
  <c r="C290" i="6" s="1"/>
  <c r="C297" i="6" s="1"/>
  <c r="C11" i="6"/>
  <c r="C12" i="6"/>
  <c r="C19" i="6" s="1"/>
  <c r="C26" i="6" s="1"/>
  <c r="C33" i="6" s="1"/>
  <c r="C40" i="6" s="1"/>
  <c r="C47" i="6" s="1"/>
  <c r="C54" i="6" s="1"/>
  <c r="C61" i="6" s="1"/>
  <c r="C68" i="6" s="1"/>
  <c r="C75" i="6" s="1"/>
  <c r="C82" i="6" s="1"/>
  <c r="C89" i="6" s="1"/>
  <c r="C96" i="6" s="1"/>
  <c r="C103" i="6" s="1"/>
  <c r="C110" i="6" s="1"/>
  <c r="C117" i="6" s="1"/>
  <c r="C124" i="6" s="1"/>
  <c r="C131" i="6" s="1"/>
  <c r="C138" i="6" s="1"/>
  <c r="C145" i="6" s="1"/>
  <c r="C152" i="6" s="1"/>
  <c r="C159" i="6" s="1"/>
  <c r="C166" i="6" s="1"/>
  <c r="C173" i="6" s="1"/>
  <c r="C180" i="6" s="1"/>
  <c r="C187" i="6" s="1"/>
  <c r="C194" i="6" s="1"/>
  <c r="C201" i="6" s="1"/>
  <c r="C208" i="6" s="1"/>
  <c r="C215" i="6" s="1"/>
  <c r="C222" i="6" s="1"/>
  <c r="C229" i="6" s="1"/>
  <c r="C236" i="6" s="1"/>
  <c r="C243" i="6" s="1"/>
  <c r="C250" i="6" s="1"/>
  <c r="C257" i="6" s="1"/>
  <c r="C264" i="6" s="1"/>
  <c r="C271" i="6" s="1"/>
  <c r="C278" i="6" s="1"/>
  <c r="C285" i="6" s="1"/>
  <c r="C292" i="6" s="1"/>
  <c r="C299" i="6" s="1"/>
  <c r="C13" i="6"/>
  <c r="C14" i="6"/>
  <c r="C18" i="6"/>
  <c r="C25" i="6" s="1"/>
  <c r="C32" i="6" s="1"/>
  <c r="C39" i="6" s="1"/>
  <c r="C46" i="6" s="1"/>
  <c r="C53" i="6" s="1"/>
  <c r="C60" i="6" s="1"/>
  <c r="C67" i="6" s="1"/>
  <c r="C74" i="6" s="1"/>
  <c r="C81" i="6" s="1"/>
  <c r="C88" i="6" s="1"/>
  <c r="C95" i="6" s="1"/>
  <c r="C102" i="6" s="1"/>
  <c r="C109" i="6" s="1"/>
  <c r="C116" i="6" s="1"/>
  <c r="C123" i="6" s="1"/>
  <c r="C130" i="6" s="1"/>
  <c r="C137" i="6" s="1"/>
  <c r="C144" i="6" s="1"/>
  <c r="C151" i="6" s="1"/>
  <c r="C158" i="6" s="1"/>
  <c r="C165" i="6" s="1"/>
  <c r="C172" i="6" s="1"/>
  <c r="C179" i="6" s="1"/>
  <c r="C186" i="6" s="1"/>
  <c r="C193" i="6" s="1"/>
  <c r="C200" i="6" s="1"/>
  <c r="C207" i="6" s="1"/>
  <c r="C214" i="6" s="1"/>
  <c r="C221" i="6" s="1"/>
  <c r="C228" i="6" s="1"/>
  <c r="C235" i="6" s="1"/>
  <c r="C242" i="6" s="1"/>
  <c r="C249" i="6" s="1"/>
  <c r="C256" i="6" s="1"/>
  <c r="C263" i="6" s="1"/>
  <c r="C270" i="6" s="1"/>
  <c r="C277" i="6" s="1"/>
  <c r="C284" i="6" s="1"/>
  <c r="C291" i="6" s="1"/>
  <c r="C298" i="6" s="1"/>
  <c r="C20" i="6"/>
  <c r="C21" i="6"/>
  <c r="C28" i="6" s="1"/>
  <c r="C35" i="6" s="1"/>
  <c r="C42" i="6" s="1"/>
  <c r="C49" i="6" s="1"/>
  <c r="C56" i="6" s="1"/>
  <c r="C63" i="6" s="1"/>
  <c r="C70" i="6" s="1"/>
  <c r="C77" i="6" s="1"/>
  <c r="C84" i="6" s="1"/>
  <c r="C91" i="6" s="1"/>
  <c r="C98" i="6" s="1"/>
  <c r="C105" i="6" s="1"/>
  <c r="C112" i="6" s="1"/>
  <c r="C119" i="6" s="1"/>
  <c r="C126" i="6" s="1"/>
  <c r="C133" i="6" s="1"/>
  <c r="C140" i="6" s="1"/>
  <c r="C147" i="6" s="1"/>
  <c r="C154" i="6" s="1"/>
  <c r="C161" i="6" s="1"/>
  <c r="C168" i="6" s="1"/>
  <c r="C175" i="6" s="1"/>
  <c r="C182" i="6" s="1"/>
  <c r="C189" i="6" s="1"/>
  <c r="C196" i="6" s="1"/>
  <c r="C203" i="6" s="1"/>
  <c r="C210" i="6" s="1"/>
  <c r="C217" i="6" s="1"/>
  <c r="C224" i="6" s="1"/>
  <c r="C231" i="6" s="1"/>
  <c r="C238" i="6" s="1"/>
  <c r="C245" i="6" s="1"/>
  <c r="C252" i="6" s="1"/>
  <c r="C259" i="6" s="1"/>
  <c r="C266" i="6" s="1"/>
  <c r="C273" i="6" s="1"/>
  <c r="C280" i="6" s="1"/>
  <c r="C287" i="6" s="1"/>
  <c r="C294" i="6" s="1"/>
  <c r="C301" i="6" s="1"/>
  <c r="C27" i="6"/>
  <c r="C34" i="6" s="1"/>
  <c r="C41" i="6" s="1"/>
  <c r="C48" i="6" s="1"/>
  <c r="C55" i="6" s="1"/>
  <c r="C62" i="6" s="1"/>
  <c r="C69" i="6" s="1"/>
  <c r="C76" i="6" s="1"/>
  <c r="C83" i="6" s="1"/>
  <c r="C90" i="6" s="1"/>
  <c r="C97" i="6" s="1"/>
  <c r="C104" i="6" s="1"/>
  <c r="C111" i="6" s="1"/>
  <c r="C118" i="6" s="1"/>
  <c r="C125" i="6" s="1"/>
  <c r="C132" i="6" s="1"/>
  <c r="C139" i="6" s="1"/>
  <c r="C146" i="6" s="1"/>
  <c r="C153" i="6" s="1"/>
  <c r="C160" i="6" s="1"/>
  <c r="C167" i="6" s="1"/>
  <c r="C174" i="6" s="1"/>
  <c r="C181" i="6" s="1"/>
  <c r="C188" i="6" s="1"/>
  <c r="C195" i="6" s="1"/>
  <c r="C202" i="6" s="1"/>
  <c r="C209" i="6" s="1"/>
  <c r="C216" i="6" s="1"/>
  <c r="C223" i="6" s="1"/>
  <c r="C230" i="6" s="1"/>
  <c r="C237" i="6" s="1"/>
  <c r="C244" i="6" s="1"/>
  <c r="C251" i="6" s="1"/>
  <c r="C258" i="6" s="1"/>
  <c r="C265" i="6" s="1"/>
  <c r="C272" i="6" s="1"/>
  <c r="C279" i="6" s="1"/>
  <c r="C286" i="6" s="1"/>
  <c r="C293" i="6" s="1"/>
  <c r="C300" i="6" s="1"/>
  <c r="C8" i="6"/>
  <c r="C15" i="6" s="1"/>
  <c r="C22" i="6" s="1"/>
  <c r="C29" i="6" s="1"/>
  <c r="C36" i="6" s="1"/>
  <c r="C43" i="6" s="1"/>
  <c r="C50" i="6" s="1"/>
  <c r="C57" i="6" s="1"/>
  <c r="C64" i="6" s="1"/>
  <c r="C71" i="6" s="1"/>
  <c r="C78" i="6" s="1"/>
  <c r="C85" i="6" s="1"/>
  <c r="C92" i="6" s="1"/>
  <c r="C99" i="6" s="1"/>
  <c r="C106" i="6" s="1"/>
  <c r="C113" i="6" s="1"/>
  <c r="C120" i="6" s="1"/>
  <c r="C127" i="6" s="1"/>
  <c r="C134" i="6" s="1"/>
  <c r="C141" i="6" s="1"/>
  <c r="C148" i="6" s="1"/>
  <c r="C155" i="6" s="1"/>
  <c r="C162" i="6" s="1"/>
  <c r="C169" i="6" s="1"/>
  <c r="C176" i="6" s="1"/>
  <c r="C183" i="6" s="1"/>
  <c r="C190" i="6" s="1"/>
  <c r="C197" i="6" s="1"/>
  <c r="C204" i="6" s="1"/>
  <c r="C211" i="6" s="1"/>
  <c r="C218" i="6" s="1"/>
  <c r="C225" i="6" s="1"/>
  <c r="C232" i="6" s="1"/>
  <c r="C239" i="6" s="1"/>
  <c r="C246" i="6" s="1"/>
  <c r="C253" i="6" s="1"/>
  <c r="C260" i="6" s="1"/>
  <c r="C267" i="6" s="1"/>
  <c r="C274" i="6" s="1"/>
  <c r="C281" i="6" s="1"/>
  <c r="C288" i="6" s="1"/>
  <c r="C295" i="6" s="1"/>
  <c r="C31" i="5"/>
  <c r="C2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1" i="5"/>
  <c r="B31" i="5"/>
  <c r="N131" i="4"/>
  <c r="N130" i="4"/>
  <c r="N129" i="4"/>
  <c r="N128" i="4"/>
  <c r="N126" i="4"/>
  <c r="N125" i="4"/>
  <c r="N124" i="4"/>
  <c r="N123" i="4"/>
  <c r="N121" i="4"/>
  <c r="N119" i="4"/>
  <c r="N117" i="4"/>
  <c r="N115" i="4"/>
  <c r="N114" i="4"/>
  <c r="N113" i="4"/>
  <c r="N112" i="4"/>
  <c r="N110" i="4"/>
  <c r="N109" i="4"/>
  <c r="N108" i="4"/>
  <c r="N107" i="4"/>
  <c r="N105" i="4"/>
  <c r="N104" i="4"/>
  <c r="N103" i="4"/>
  <c r="N102" i="4"/>
  <c r="N100" i="4"/>
  <c r="N99" i="4"/>
  <c r="N98" i="4"/>
  <c r="N97" i="4"/>
  <c r="N95" i="4"/>
  <c r="N94" i="4"/>
  <c r="N93" i="4"/>
  <c r="N92" i="4"/>
  <c r="N90" i="4"/>
  <c r="N89" i="4"/>
  <c r="N88" i="4"/>
  <c r="N86" i="4"/>
  <c r="N85" i="4"/>
  <c r="N84" i="4"/>
  <c r="N83" i="4"/>
  <c r="N81" i="4"/>
  <c r="N80" i="4"/>
  <c r="N79" i="4"/>
  <c r="N78" i="4"/>
  <c r="N76" i="4"/>
  <c r="N75" i="4"/>
  <c r="N74" i="4"/>
  <c r="N73" i="4"/>
  <c r="N71" i="4"/>
  <c r="N70" i="4"/>
  <c r="N69" i="4"/>
  <c r="N68" i="4"/>
  <c r="N66" i="4"/>
  <c r="N65" i="4"/>
  <c r="N64" i="4"/>
  <c r="N63" i="4"/>
  <c r="N61" i="4"/>
  <c r="N60" i="4"/>
  <c r="N59" i="4"/>
  <c r="N58" i="4"/>
  <c r="N56" i="4"/>
  <c r="N55" i="4"/>
  <c r="N54" i="4"/>
  <c r="N53" i="4"/>
  <c r="N51" i="4"/>
  <c r="N50" i="4"/>
  <c r="N49" i="4"/>
  <c r="N48" i="4"/>
  <c r="N46" i="4"/>
  <c r="N45" i="4"/>
  <c r="N44" i="4"/>
  <c r="N43" i="4"/>
  <c r="N42" i="4"/>
  <c r="N40" i="4"/>
  <c r="N39" i="4"/>
  <c r="N38" i="4"/>
  <c r="N37" i="4"/>
  <c r="N35" i="4"/>
  <c r="N34" i="4"/>
  <c r="N33" i="4"/>
  <c r="N32" i="4"/>
  <c r="N30" i="4"/>
  <c r="N29" i="4"/>
  <c r="N28" i="4"/>
  <c r="N27" i="4"/>
  <c r="N26" i="4"/>
  <c r="N25" i="4"/>
  <c r="N23" i="4"/>
  <c r="N22" i="4"/>
  <c r="N21" i="4"/>
  <c r="N20" i="4"/>
  <c r="N18" i="4"/>
  <c r="N17" i="4"/>
  <c r="N16" i="4"/>
  <c r="N15" i="4"/>
  <c r="N14" i="4"/>
  <c r="N12" i="4"/>
  <c r="N10" i="4"/>
  <c r="N8" i="4"/>
  <c r="N6" i="4"/>
  <c r="N4" i="4"/>
  <c r="AH4" i="4" l="1"/>
  <c r="AH5" i="4" s="1"/>
  <c r="E9" i="9"/>
  <c r="C45" i="8"/>
  <c r="E27" i="8" s="1"/>
  <c r="D4" i="8"/>
  <c r="E33" i="8" l="1"/>
  <c r="E20" i="8"/>
  <c r="E18" i="8"/>
  <c r="E30" i="8"/>
  <c r="E34" i="8"/>
  <c r="E11" i="8"/>
  <c r="E23" i="8"/>
  <c r="E44" i="8"/>
  <c r="E35" i="8"/>
  <c r="E22" i="8"/>
  <c r="E5" i="8"/>
  <c r="E17" i="8"/>
  <c r="E29" i="8"/>
  <c r="E19" i="8"/>
  <c r="F3" i="8"/>
  <c r="E4" i="8"/>
  <c r="E37" i="8"/>
  <c r="E15" i="8"/>
  <c r="E3" i="8"/>
  <c r="E26" i="8"/>
  <c r="E25" i="8"/>
  <c r="E36" i="8"/>
  <c r="E24" i="8"/>
  <c r="E14" i="8"/>
  <c r="E38" i="8"/>
  <c r="E16" i="8"/>
  <c r="E42" i="8"/>
  <c r="E40" i="8"/>
  <c r="E39" i="8"/>
  <c r="E41" i="8"/>
  <c r="E31" i="8"/>
  <c r="E7" i="8"/>
  <c r="E32" i="8"/>
  <c r="E10" i="8"/>
  <c r="E21" i="8"/>
  <c r="E28" i="8"/>
  <c r="E13" i="8"/>
  <c r="E6" i="8"/>
  <c r="E9" i="8"/>
  <c r="E12" i="8"/>
  <c r="E43" i="8"/>
  <c r="E8" i="8"/>
  <c r="D5" i="8"/>
  <c r="F4" i="8"/>
  <c r="D6" i="8" l="1"/>
  <c r="F5" i="8"/>
  <c r="D7" i="8" l="1"/>
  <c r="F6" i="8"/>
  <c r="D8" i="8" l="1"/>
  <c r="F7" i="8"/>
  <c r="D9" i="8" l="1"/>
  <c r="F8" i="8"/>
  <c r="D10" i="8" l="1"/>
  <c r="F9" i="8"/>
  <c r="D11" i="8" l="1"/>
  <c r="F10" i="8"/>
  <c r="D12" i="8" l="1"/>
  <c r="F11" i="8"/>
  <c r="D13" i="8" l="1"/>
  <c r="F12" i="8"/>
  <c r="D14" i="8" l="1"/>
  <c r="F13" i="8"/>
  <c r="D15" i="8" l="1"/>
  <c r="F14" i="8"/>
  <c r="D16" i="8" l="1"/>
  <c r="F15" i="8"/>
  <c r="D17" i="8" l="1"/>
  <c r="F16" i="8"/>
  <c r="D18" i="8" l="1"/>
  <c r="F17" i="8"/>
  <c r="D19" i="8" l="1"/>
  <c r="F18" i="8"/>
  <c r="D20" i="8" l="1"/>
  <c r="F19" i="8"/>
  <c r="D21" i="8" l="1"/>
  <c r="F20" i="8"/>
  <c r="D22" i="8" l="1"/>
  <c r="F21" i="8"/>
  <c r="D23" i="8" l="1"/>
  <c r="F22" i="8"/>
  <c r="D24" i="8" l="1"/>
  <c r="F23" i="8"/>
  <c r="D25" i="8" l="1"/>
  <c r="F24" i="8"/>
  <c r="D26" i="8" l="1"/>
  <c r="F25" i="8"/>
  <c r="D27" i="8" l="1"/>
  <c r="F26" i="8"/>
  <c r="D28" i="8" l="1"/>
  <c r="F27" i="8"/>
  <c r="D29" i="8" l="1"/>
  <c r="F28" i="8"/>
  <c r="D30" i="8" l="1"/>
  <c r="F29" i="8"/>
  <c r="D31" i="8" l="1"/>
  <c r="F30" i="8"/>
  <c r="D32" i="8" l="1"/>
  <c r="F31" i="8"/>
  <c r="D33" i="8" l="1"/>
  <c r="F32" i="8"/>
  <c r="D34" i="8" l="1"/>
  <c r="F33" i="8"/>
  <c r="D35" i="8" l="1"/>
  <c r="F34" i="8"/>
  <c r="D36" i="8" l="1"/>
  <c r="F35" i="8"/>
  <c r="D37" i="8" l="1"/>
  <c r="F36" i="8"/>
  <c r="D38" i="8" l="1"/>
  <c r="F37" i="8"/>
  <c r="D39" i="8" l="1"/>
  <c r="F38" i="8"/>
  <c r="D40" i="8" l="1"/>
  <c r="F39" i="8"/>
  <c r="D41" i="8" l="1"/>
  <c r="F40" i="8"/>
  <c r="D42" i="8" l="1"/>
  <c r="F41" i="8"/>
  <c r="D43" i="8" l="1"/>
  <c r="F42" i="8"/>
  <c r="D44" i="8" l="1"/>
  <c r="F44" i="8" s="1"/>
  <c r="F43" i="8"/>
</calcChain>
</file>

<file path=xl/sharedStrings.xml><?xml version="1.0" encoding="utf-8"?>
<sst xmlns="http://schemas.openxmlformats.org/spreadsheetml/2006/main" count="5115" uniqueCount="1557">
  <si>
    <t>LOCAçãO E GABARITO</t>
  </si>
  <si>
    <t>HR</t>
  </si>
  <si>
    <t xml:space="preserve"> -1.1</t>
  </si>
  <si>
    <t>01.01.01.</t>
  </si>
  <si>
    <t>Locação e Gabarito - Material</t>
  </si>
  <si>
    <t>M</t>
  </si>
  <si>
    <t xml:space="preserve">    1.1.1</t>
  </si>
  <si>
    <t>Tabua *2,5 x 23* cm em pinus, mista ou equivalente da regiao - bruta</t>
  </si>
  <si>
    <t xml:space="preserve">    1.1.2</t>
  </si>
  <si>
    <t>Sarrafo nao aparelhado *2,5 x 7* cm, em macaranduba, angelim ou equivalente da regiao -  bruta</t>
  </si>
  <si>
    <t xml:space="preserve">    1.1.3</t>
  </si>
  <si>
    <t>Caibro nao aparelhado  *7,5 x 7,5* cm, em macaranduba, angelim ou equivalente da regiao -  bruta</t>
  </si>
  <si>
    <t xml:space="preserve">    1.1.4</t>
  </si>
  <si>
    <t>Prego de aço polido com cabeça 17 x 21 (2 x 11)</t>
  </si>
  <si>
    <t>KG</t>
  </si>
  <si>
    <t xml:space="preserve">    1.1.5</t>
  </si>
  <si>
    <t>Tinta acrilica premium, cor branco fosco</t>
  </si>
  <si>
    <t>L</t>
  </si>
  <si>
    <t xml:space="preserve"> -1.2</t>
  </si>
  <si>
    <t>01.01.02.</t>
  </si>
  <si>
    <t>Locação e Gabarito - Mão de Obra  (1P + 1A) - 5 dias</t>
  </si>
  <si>
    <t xml:space="preserve">    1.2.1</t>
  </si>
  <si>
    <t>01N</t>
  </si>
  <si>
    <t>Leis Sociais</t>
  </si>
  <si>
    <t>VB</t>
  </si>
  <si>
    <t xml:space="preserve">    1.2.2</t>
  </si>
  <si>
    <t>Carpinteiro de formas</t>
  </si>
  <si>
    <t xml:space="preserve">    1.2.3</t>
  </si>
  <si>
    <t>Carpinteiro auxiliar</t>
  </si>
  <si>
    <t>ESTACAS</t>
  </si>
  <si>
    <t>TORRE</t>
  </si>
  <si>
    <t xml:space="preserve"> -2.1</t>
  </si>
  <si>
    <t>01.02.01.01</t>
  </si>
  <si>
    <t>Estaca Hélice Contínua - Concreto fck 30 Mpa</t>
  </si>
  <si>
    <t>M³</t>
  </si>
  <si>
    <t xml:space="preserve">    2.1.1</t>
  </si>
  <si>
    <t>Concreto Usinado Bombeavel 30MPa</t>
  </si>
  <si>
    <t xml:space="preserve"> -2.2</t>
  </si>
  <si>
    <t>01.02.01.02</t>
  </si>
  <si>
    <t>Estaca Hélice Contínua - Aço CA-50</t>
  </si>
  <si>
    <t xml:space="preserve">    2.2.1</t>
  </si>
  <si>
    <t>02N</t>
  </si>
  <si>
    <t>Corte e dobra Aço CA 50</t>
  </si>
  <si>
    <t xml:space="preserve">    2.2.2</t>
  </si>
  <si>
    <t>03N</t>
  </si>
  <si>
    <t>Montagem Aço CA 50</t>
  </si>
  <si>
    <t xml:space="preserve">    2.2.3</t>
  </si>
  <si>
    <t>Aço CA-50, 6,3 mm, vergalhao</t>
  </si>
  <si>
    <t xml:space="preserve">    2.2.4</t>
  </si>
  <si>
    <t>Espaçador em plastico cobrimento 20 mm</t>
  </si>
  <si>
    <t>UN</t>
  </si>
  <si>
    <t xml:space="preserve">    2.2.5</t>
  </si>
  <si>
    <t>Aço CA-50, 12,5 mm ou 16,0 mm, vergalhao</t>
  </si>
  <si>
    <t xml:space="preserve">    2.2.6</t>
  </si>
  <si>
    <t>Arame Recozido 16 BWG</t>
  </si>
  <si>
    <t xml:space="preserve"> -2.3</t>
  </si>
  <si>
    <t>01.02.02.</t>
  </si>
  <si>
    <t>Estacas Hélice Contínua - Mão de Obra</t>
  </si>
  <si>
    <t xml:space="preserve">    2.3.1</t>
  </si>
  <si>
    <t>01.02.02.01.</t>
  </si>
  <si>
    <t>Empresa Especialista Estaca Helice - Mobilização</t>
  </si>
  <si>
    <t>EVENTO</t>
  </si>
  <si>
    <t xml:space="preserve">    2.3.2</t>
  </si>
  <si>
    <t>01.02.02.02.</t>
  </si>
  <si>
    <t>Empresa Especialista Estaca Helice  - Execução das estacas</t>
  </si>
  <si>
    <t>VIGAS BALDRAMES</t>
  </si>
  <si>
    <t xml:space="preserve"> -3.1</t>
  </si>
  <si>
    <t>01.03.01.01.</t>
  </si>
  <si>
    <t>Vigas Baldrames - Aço CA-50</t>
  </si>
  <si>
    <t xml:space="preserve">    3.1.1</t>
  </si>
  <si>
    <t xml:space="preserve">    3.1.2</t>
  </si>
  <si>
    <t xml:space="preserve">    3.1.3</t>
  </si>
  <si>
    <t xml:space="preserve">    3.1.4</t>
  </si>
  <si>
    <t xml:space="preserve">    3.1.5</t>
  </si>
  <si>
    <t xml:space="preserve">    3.1.6</t>
  </si>
  <si>
    <t xml:space="preserve"> -3.2</t>
  </si>
  <si>
    <t>01.03.01.02.</t>
  </si>
  <si>
    <t>Vigas Baldrames - Concreto fck 30Mpa</t>
  </si>
  <si>
    <t xml:space="preserve">    3.2.1</t>
  </si>
  <si>
    <t xml:space="preserve"> -3.3</t>
  </si>
  <si>
    <t>01.03.01.03.</t>
  </si>
  <si>
    <t>Vigas Baldrames - Formas Compensado</t>
  </si>
  <si>
    <t>M²</t>
  </si>
  <si>
    <t xml:space="preserve">    3.3.1</t>
  </si>
  <si>
    <t>Chapa de madeira compensada resinada para forma de concreto, de *2,2 x 1,1* m, e = 17 mm</t>
  </si>
  <si>
    <t xml:space="preserve">    3.3.2</t>
  </si>
  <si>
    <t>Prego de aço polido com cabeça 15 x 15 (1 1/4 x 13)</t>
  </si>
  <si>
    <t xml:space="preserve">    3.3.3</t>
  </si>
  <si>
    <t>Desmoldante protetor para formas de madeira, de base oleosa emulsionada em agua</t>
  </si>
  <si>
    <t xml:space="preserve">    3.3.4</t>
  </si>
  <si>
    <t>Prego de aço polido com cabeça dupla 17 x 27 (2 1/2 x 11)</t>
  </si>
  <si>
    <t xml:space="preserve">    3.3.5</t>
  </si>
  <si>
    <t>Pontalete *7,5 x 7,5* cm em pinus, mista ou equivalente da regiao - bruta</t>
  </si>
  <si>
    <t xml:space="preserve">    3.3.6</t>
  </si>
  <si>
    <t>Sarrafo *2,5 x 7,5* cm em pinus, mista ou equivalente da regiao - bruta</t>
  </si>
  <si>
    <t xml:space="preserve">    3.3.7</t>
  </si>
  <si>
    <t>Prego de aço polido com cabeça 17 x 24 (2 1/4 x 11)</t>
  </si>
  <si>
    <t xml:space="preserve"> -3.4</t>
  </si>
  <si>
    <t>01.03.02.01.</t>
  </si>
  <si>
    <t xml:space="preserve">Vigas Baldrames - Empreiteiro </t>
  </si>
  <si>
    <t xml:space="preserve">    3.4.1</t>
  </si>
  <si>
    <t>04N</t>
  </si>
  <si>
    <t xml:space="preserve">Empreiteiro de Estrutura de Concreto </t>
  </si>
  <si>
    <t xml:space="preserve"> -3.5</t>
  </si>
  <si>
    <t>04.01.01.</t>
  </si>
  <si>
    <t>Impermeabilização das vigas de fundação - Material</t>
  </si>
  <si>
    <t xml:space="preserve">    3.5.1</t>
  </si>
  <si>
    <t>Manta asfaltica elastomerica em poliester 3 mm</t>
  </si>
  <si>
    <t xml:space="preserve">    3.5.2</t>
  </si>
  <si>
    <t>Manta asfaltica elastomerica em poliester 4 mm</t>
  </si>
  <si>
    <t xml:space="preserve">    3.5.3</t>
  </si>
  <si>
    <t>Primer para manta asfaltica a base de asfalto modificado diluido em solvente, aplicação a frio</t>
  </si>
  <si>
    <t xml:space="preserve"> -3.6</t>
  </si>
  <si>
    <t>04.01.02.</t>
  </si>
  <si>
    <t>Impermeabilização das vigas de fundação - Mão de Obra</t>
  </si>
  <si>
    <t xml:space="preserve">    3.6.1</t>
  </si>
  <si>
    <t>08N</t>
  </si>
  <si>
    <t>Empreiteiro Impermeabilização das Vigas</t>
  </si>
  <si>
    <t>INSTALAçõES ENTERRADAS</t>
  </si>
  <si>
    <t xml:space="preserve"> -4.1</t>
  </si>
  <si>
    <t>09.01.01.01.</t>
  </si>
  <si>
    <t>Instalações Hidrossanitárias - Enterradas - Mão de Obra</t>
  </si>
  <si>
    <t xml:space="preserve">    4.1.1</t>
  </si>
  <si>
    <t>26N</t>
  </si>
  <si>
    <t xml:space="preserve">Empreiteiro - Instalações Hidrossanitárias - Enterradas </t>
  </si>
  <si>
    <t xml:space="preserve"> -4.2</t>
  </si>
  <si>
    <t>09.02.01.01.</t>
  </si>
  <si>
    <t>Instalações Elétricas - Enterradas - Mão de Obra</t>
  </si>
  <si>
    <t xml:space="preserve">    4.2.1</t>
  </si>
  <si>
    <t>32N</t>
  </si>
  <si>
    <t>Empriteiro - Instalações Elétricas - Enterradas</t>
  </si>
  <si>
    <t>CONTRAPISO</t>
  </si>
  <si>
    <t xml:space="preserve"> -5.1</t>
  </si>
  <si>
    <t>01.04.01.01.</t>
  </si>
  <si>
    <t xml:space="preserve">Contrapiso - Brita e Lona </t>
  </si>
  <si>
    <t xml:space="preserve">    5.1.1</t>
  </si>
  <si>
    <t>Lona Plastica Preta</t>
  </si>
  <si>
    <t xml:space="preserve">    5.1.2</t>
  </si>
  <si>
    <t>Brita 2</t>
  </si>
  <si>
    <t xml:space="preserve"> -5.2</t>
  </si>
  <si>
    <t>01.04.01.02.</t>
  </si>
  <si>
    <t>Contrapiso - Tela Q159</t>
  </si>
  <si>
    <t xml:space="preserve">    5.2.1</t>
  </si>
  <si>
    <t>Tela de aço soldada nervurada, ca-60, q-159, (2,52 kg/m2), diametro do fio = 4,5 mm, largura =  2,45 m, espacamento da malha = 10 x 10 cm</t>
  </si>
  <si>
    <t xml:space="preserve">    5.2.2</t>
  </si>
  <si>
    <t>Trelica nervurada (Espaçador), altura = 120,0 mm, diametro dos banzos inferiores e superior = 6,0 mm, diametro da diagonal = 4,2 mm</t>
  </si>
  <si>
    <t xml:space="preserve">    5.2.3</t>
  </si>
  <si>
    <t xml:space="preserve"> -5.3</t>
  </si>
  <si>
    <t>01.04.01.03.</t>
  </si>
  <si>
    <t>Contrapiso - Concreto fck 30Mpa</t>
  </si>
  <si>
    <t xml:space="preserve">    5.3.1</t>
  </si>
  <si>
    <t xml:space="preserve"> -5.4</t>
  </si>
  <si>
    <t>01.04.01.04.</t>
  </si>
  <si>
    <t>Contrapiso  - Formas Compensado</t>
  </si>
  <si>
    <t xml:space="preserve">    5.4.1</t>
  </si>
  <si>
    <t xml:space="preserve">    5.4.2</t>
  </si>
  <si>
    <t xml:space="preserve">    5.4.3</t>
  </si>
  <si>
    <t xml:space="preserve">    5.4.4</t>
  </si>
  <si>
    <t xml:space="preserve">    5.4.5</t>
  </si>
  <si>
    <t xml:space="preserve">    5.4.6</t>
  </si>
  <si>
    <t xml:space="preserve">    5.4.7</t>
  </si>
  <si>
    <t xml:space="preserve"> -5.5</t>
  </si>
  <si>
    <t>01.04.02.01.</t>
  </si>
  <si>
    <t xml:space="preserve">Contrapiso- Empreiteiro </t>
  </si>
  <si>
    <t xml:space="preserve">    5.5.1</t>
  </si>
  <si>
    <t>05N</t>
  </si>
  <si>
    <t>Empreiteiro de Execução de Contrapiso</t>
  </si>
  <si>
    <t>ALVENARIA ESTRUTURAL</t>
  </si>
  <si>
    <t xml:space="preserve"> -6.1</t>
  </si>
  <si>
    <t>02.03.01.01.</t>
  </si>
  <si>
    <t>Alvenaria Estrutural - Blocos Cerâmico familia 14 fbk 6MPa</t>
  </si>
  <si>
    <t xml:space="preserve">    6.1.1</t>
  </si>
  <si>
    <t>Tela de aço soldada galvanizada/zincada para alvenaria, fio  d = *1,20 a 1,70* mm, malha 15 x 15 mm, (c x l) *50 x 12* cm</t>
  </si>
  <si>
    <t xml:space="preserve">    6.1.2</t>
  </si>
  <si>
    <t>Bloco estrutural ceramico 14 x 19 x 39 cm  6,0 MPA</t>
  </si>
  <si>
    <t xml:space="preserve">    6.1.3</t>
  </si>
  <si>
    <t>Canaleta estrutural ceramica, 14 x 19 x 39 cm 6,0 MPA</t>
  </si>
  <si>
    <t xml:space="preserve">    6.1.4</t>
  </si>
  <si>
    <t>Meio bloco estrutural ceramico 14 x 19 x 19 cm 6,0 MPA</t>
  </si>
  <si>
    <t xml:space="preserve">    6.1.5</t>
  </si>
  <si>
    <t>Canaleta estrutural ceramica, 14 x 19 x 19 cm 6,0 MPA</t>
  </si>
  <si>
    <t xml:space="preserve">    6.1.6</t>
  </si>
  <si>
    <t>Bloco estrutural ceramico 14 x 19 x 34 cm 6,0 MPA</t>
  </si>
  <si>
    <t xml:space="preserve"> -6.2</t>
  </si>
  <si>
    <t>02.03.01.02.</t>
  </si>
  <si>
    <t xml:space="preserve">Alvenaria Estrutural - Argamassa de Assentamento </t>
  </si>
  <si>
    <t xml:space="preserve">    6.2.1</t>
  </si>
  <si>
    <t xml:space="preserve">Argamassa Industrialziada </t>
  </si>
  <si>
    <t xml:space="preserve"> -6.3</t>
  </si>
  <si>
    <t>02.03.01.03.</t>
  </si>
  <si>
    <t>Alvenaria Estrutural - Aço CA-50</t>
  </si>
  <si>
    <t xml:space="preserve">    6.3.1</t>
  </si>
  <si>
    <t xml:space="preserve">    6.3.2</t>
  </si>
  <si>
    <t xml:space="preserve"> -6.4</t>
  </si>
  <si>
    <t>02.03.01.04.</t>
  </si>
  <si>
    <t>Alvenaria Estrutural - Grout Usinado</t>
  </si>
  <si>
    <t xml:space="preserve">    6.4.1</t>
  </si>
  <si>
    <t>06N</t>
  </si>
  <si>
    <t>Grout Usinado</t>
  </si>
  <si>
    <t xml:space="preserve"> -6.5</t>
  </si>
  <si>
    <t>02.03.02.01.(1)</t>
  </si>
  <si>
    <t xml:space="preserve">Alvenaria Estrutural - Empreiteiro </t>
  </si>
  <si>
    <t xml:space="preserve">    6.5.1</t>
  </si>
  <si>
    <t>07N</t>
  </si>
  <si>
    <t>Empreiteiro de Alvenaria Estrutural</t>
  </si>
  <si>
    <t xml:space="preserve"> -6.6</t>
  </si>
  <si>
    <t>09.02.02.01.</t>
  </si>
  <si>
    <t xml:space="preserve">Instalações Elétricas - Eletrodutos - Material </t>
  </si>
  <si>
    <t xml:space="preserve">    6.6.1</t>
  </si>
  <si>
    <t>Eletroduto PVC flexivel corrugado, cor amarela, de 16 mm</t>
  </si>
  <si>
    <t xml:space="preserve"> -6.7</t>
  </si>
  <si>
    <t>09.02.02.02.</t>
  </si>
  <si>
    <t>Instalações Elétricas - Eletrodutos - Mão de Obra</t>
  </si>
  <si>
    <t>APTO</t>
  </si>
  <si>
    <t xml:space="preserve">    6.7.1</t>
  </si>
  <si>
    <t>33N</t>
  </si>
  <si>
    <t>Empreiteiro instalações de eletrodutos  alvenaria/laje</t>
  </si>
  <si>
    <t>ESTRUTURA MOLDADO IN LOCO</t>
  </si>
  <si>
    <t xml:space="preserve"> -7.1</t>
  </si>
  <si>
    <t>02.01.01.01.</t>
  </si>
  <si>
    <t>Laje Moldada In loco - Aço CA-50</t>
  </si>
  <si>
    <t xml:space="preserve">    7.1.1</t>
  </si>
  <si>
    <t>-</t>
  </si>
  <si>
    <t xml:space="preserve">    7.1.2</t>
  </si>
  <si>
    <t xml:space="preserve">    7.1.3</t>
  </si>
  <si>
    <t xml:space="preserve">    7.1.4</t>
  </si>
  <si>
    <t xml:space="preserve">    7.1.5</t>
  </si>
  <si>
    <t xml:space="preserve">    7.1.6</t>
  </si>
  <si>
    <t xml:space="preserve"> -7.2</t>
  </si>
  <si>
    <t>02.01.01.02.</t>
  </si>
  <si>
    <t>Laje Moldada In loco - Concreto fck 30Mpa</t>
  </si>
  <si>
    <t xml:space="preserve">    7.2.1</t>
  </si>
  <si>
    <t xml:space="preserve"> -7.3</t>
  </si>
  <si>
    <t>02.01.01.03.</t>
  </si>
  <si>
    <t>Laje Moldada In loco - Formas Compensado (2x)</t>
  </si>
  <si>
    <t xml:space="preserve">    7.3.1</t>
  </si>
  <si>
    <t xml:space="preserve">    7.3.2</t>
  </si>
  <si>
    <t xml:space="preserve">    7.3.3</t>
  </si>
  <si>
    <t xml:space="preserve">    7.3.4</t>
  </si>
  <si>
    <t xml:space="preserve">    7.3.5</t>
  </si>
  <si>
    <t xml:space="preserve">    7.3.6</t>
  </si>
  <si>
    <t xml:space="preserve">    7.3.7</t>
  </si>
  <si>
    <t xml:space="preserve"> -7.4</t>
  </si>
  <si>
    <t>02.01.02.01</t>
  </si>
  <si>
    <t xml:space="preserve">Laje Moldada in Loco - Empreiteiro </t>
  </si>
  <si>
    <t xml:space="preserve">    7.4.1</t>
  </si>
  <si>
    <t xml:space="preserve"> -7.5</t>
  </si>
  <si>
    <t>02.02.01.01.</t>
  </si>
  <si>
    <t>Escada Moldada in Loco - Aço CA-50</t>
  </si>
  <si>
    <t xml:space="preserve">    7.5.1</t>
  </si>
  <si>
    <t xml:space="preserve">    7.5.2</t>
  </si>
  <si>
    <t xml:space="preserve">    7.5.3</t>
  </si>
  <si>
    <t xml:space="preserve">    7.5.4</t>
  </si>
  <si>
    <t xml:space="preserve">    7.5.5</t>
  </si>
  <si>
    <t xml:space="preserve">    7.5.6</t>
  </si>
  <si>
    <t xml:space="preserve"> -7.6</t>
  </si>
  <si>
    <t>02.02.01.02.</t>
  </si>
  <si>
    <t>Escada Moldada in Loco - Concreto fck 30Mpa</t>
  </si>
  <si>
    <t xml:space="preserve">    7.6.1</t>
  </si>
  <si>
    <t xml:space="preserve"> -7.7</t>
  </si>
  <si>
    <t>02.02.01.03.</t>
  </si>
  <si>
    <t>Escada Moldada in Loco  - Formas Compensado (2x)</t>
  </si>
  <si>
    <t xml:space="preserve">    7.7.1</t>
  </si>
  <si>
    <t xml:space="preserve">    7.7.2</t>
  </si>
  <si>
    <t xml:space="preserve">    7.7.3</t>
  </si>
  <si>
    <t xml:space="preserve">    7.7.4</t>
  </si>
  <si>
    <t xml:space="preserve">    7.7.5</t>
  </si>
  <si>
    <t xml:space="preserve">    7.7.6</t>
  </si>
  <si>
    <t xml:space="preserve"> -7.8</t>
  </si>
  <si>
    <t>02.03.02.01.</t>
  </si>
  <si>
    <t xml:space="preserve">Escada Moldada in Loco - Empreiteiro </t>
  </si>
  <si>
    <t xml:space="preserve">    7.8.1</t>
  </si>
  <si>
    <t>05NA</t>
  </si>
  <si>
    <t>Empreiteiro de Execução de Escada</t>
  </si>
  <si>
    <t>INSTALAçõES HIDROSSANITáRIAS</t>
  </si>
  <si>
    <t xml:space="preserve"> -8.1</t>
  </si>
  <si>
    <t>09.01.02.01.</t>
  </si>
  <si>
    <t>Tubulações e Conexões - Esgoto (Ramal e Coluna)</t>
  </si>
  <si>
    <t xml:space="preserve">    8.1.1</t>
  </si>
  <si>
    <t>27N</t>
  </si>
  <si>
    <t>Adaptador saída para vaso sanitário 100mm</t>
  </si>
  <si>
    <t xml:space="preserve">    8.1.2</t>
  </si>
  <si>
    <t>28N</t>
  </si>
  <si>
    <t>Bucha de reducao longa - serie reforcada - esgoto</t>
  </si>
  <si>
    <t xml:space="preserve">    8.1.3</t>
  </si>
  <si>
    <t>29N</t>
  </si>
  <si>
    <t>Cap PVC para esgoto 75mm</t>
  </si>
  <si>
    <t xml:space="preserve">    8.1.4</t>
  </si>
  <si>
    <t>Joelho PVC, soldavel, bb, 45 graus, DN 40 mm, para esgoto predial</t>
  </si>
  <si>
    <t xml:space="preserve">    8.1.5</t>
  </si>
  <si>
    <t>Joelho PVC, soldavel, pb, 45 graus, DN 50 mm, para esgoto predial</t>
  </si>
  <si>
    <t xml:space="preserve">    8.1.6</t>
  </si>
  <si>
    <t>Joelho PVC, soldavel, pb, 45 graus, DN 75 mm, para esgoto predial</t>
  </si>
  <si>
    <t xml:space="preserve">    8.1.7</t>
  </si>
  <si>
    <t>Joelho PVC, soldavel, pb, 45 graus, DN 100 mm, para esgoto predial</t>
  </si>
  <si>
    <t xml:space="preserve">    8.1.8</t>
  </si>
  <si>
    <t>Tubo PVC  serie normal, DN 40 mm, para esgoto  predial (nbr 5688)</t>
  </si>
  <si>
    <t xml:space="preserve">    8.1.9</t>
  </si>
  <si>
    <t>Tubo PVC  serie normal, DN 100 mm, para esgoto  predial (nbr 5688)</t>
  </si>
  <si>
    <t xml:space="preserve">    8.1.10</t>
  </si>
  <si>
    <t>Tubo PVC serie normal, DN 75 mm, para esgoto predial (nbr 5688)</t>
  </si>
  <si>
    <t xml:space="preserve">    8.1.11</t>
  </si>
  <si>
    <t>Tubo PVC serie normal, DN 50 mm, para esgoto predial (nbr 5688)</t>
  </si>
  <si>
    <t xml:space="preserve">    8.1.12</t>
  </si>
  <si>
    <t>N01</t>
  </si>
  <si>
    <t>Caixa Sinfonada</t>
  </si>
  <si>
    <t xml:space="preserve">    8.1.13</t>
  </si>
  <si>
    <t>N02</t>
  </si>
  <si>
    <t>Prolongamento - Caixa Sinfonada</t>
  </si>
  <si>
    <t xml:space="preserve">    8.1.14</t>
  </si>
  <si>
    <t>N03</t>
  </si>
  <si>
    <t>Bucha de Redução Longa_Série Reforçada-Ø50mm-Ø50mm</t>
  </si>
  <si>
    <t xml:space="preserve">    8.1.15</t>
  </si>
  <si>
    <t>N04</t>
  </si>
  <si>
    <t>Joelho 45_90 - Série Normal-Ø100mm</t>
  </si>
  <si>
    <t xml:space="preserve">    8.1.16</t>
  </si>
  <si>
    <t>N05</t>
  </si>
  <si>
    <t>Joelho 45_90 - Série Normal-Ø40mm</t>
  </si>
  <si>
    <t xml:space="preserve">    8.1.17</t>
  </si>
  <si>
    <t>N06</t>
  </si>
  <si>
    <t>Joelho 45_90 - Série Normal-Ø50mm</t>
  </si>
  <si>
    <t xml:space="preserve">    8.1.18</t>
  </si>
  <si>
    <t>N07</t>
  </si>
  <si>
    <t>Luva Simples Série Normal-Ø100mm</t>
  </si>
  <si>
    <t xml:space="preserve">    8.1.19</t>
  </si>
  <si>
    <t>N08</t>
  </si>
  <si>
    <t>Luva Simples Série Normal-Ø50mm</t>
  </si>
  <si>
    <t xml:space="preserve">    8.1.20</t>
  </si>
  <si>
    <t>N09</t>
  </si>
  <si>
    <t>Luva Simples Série Reforçada-Ø100mm</t>
  </si>
  <si>
    <t xml:space="preserve">    8.1.21</t>
  </si>
  <si>
    <t>N10</t>
  </si>
  <si>
    <t>Luva Simples Série Reforçada-Ø50mm</t>
  </si>
  <si>
    <t xml:space="preserve">    8.1.22</t>
  </si>
  <si>
    <t>N11</t>
  </si>
  <si>
    <t>Luva Simples Série Reforçada-Ø75mm</t>
  </si>
  <si>
    <t xml:space="preserve">    8.1.23</t>
  </si>
  <si>
    <t>N12</t>
  </si>
  <si>
    <t>Tê Junção Série Normal-Ø50mm</t>
  </si>
  <si>
    <t xml:space="preserve">    8.1.24</t>
  </si>
  <si>
    <t>N13</t>
  </si>
  <si>
    <t>Tê Junção Série Reforçada-Ø100mm</t>
  </si>
  <si>
    <t xml:space="preserve">    8.1.25</t>
  </si>
  <si>
    <t>N14</t>
  </si>
  <si>
    <t>Tê Junção Série Reforçada-Ø100mm-Ø100mm-Ø50mm</t>
  </si>
  <si>
    <t xml:space="preserve">    8.1.26</t>
  </si>
  <si>
    <t>N15</t>
  </si>
  <si>
    <t>Tê Junção Série Reforçada-Ø100mm-Ø100mm-Ø75mm</t>
  </si>
  <si>
    <t xml:space="preserve">    8.1.27</t>
  </si>
  <si>
    <t>N16</t>
  </si>
  <si>
    <t>Tê Junção Série Reforçada-Ø50mm</t>
  </si>
  <si>
    <t xml:space="preserve">    8.1.28</t>
  </si>
  <si>
    <t>N17</t>
  </si>
  <si>
    <t>Tê Junção Série Reforçada-Ø75mm-Ø75mm-Ø50mm</t>
  </si>
  <si>
    <t xml:space="preserve"> -8.2</t>
  </si>
  <si>
    <t>09.01.02.02.</t>
  </si>
  <si>
    <t>Tubulações e Conexões - Água fria  (Ramal e Coluna)</t>
  </si>
  <si>
    <t xml:space="preserve">    8.2.1</t>
  </si>
  <si>
    <t>30N</t>
  </si>
  <si>
    <t>Tê de redução PVC branco roscável 1x3/4" 32x25mm</t>
  </si>
  <si>
    <t xml:space="preserve">    8.2.2</t>
  </si>
  <si>
    <t>Joelho, PVC soldavel, 45 graus, 32 mm, para agua fria predial</t>
  </si>
  <si>
    <t xml:space="preserve">    8.2.3</t>
  </si>
  <si>
    <t>Joelho PVC, soldavel, 90 graus, 25 mm, para agua fria predial</t>
  </si>
  <si>
    <t xml:space="preserve">    8.2.4</t>
  </si>
  <si>
    <t>41N</t>
  </si>
  <si>
    <t>Tê de redução PVC branco roscável Ø25mm</t>
  </si>
  <si>
    <t xml:space="preserve">    8.2.5</t>
  </si>
  <si>
    <t>REGISTRO GAVETA BRUTO EM LATAO FORJADO, BITOLA 1 " (REF 1509)</t>
  </si>
  <si>
    <t xml:space="preserve">    8.2.6</t>
  </si>
  <si>
    <t>Tubo PVC, soldavel, DN 25 mm, agua fria (nbr-5648)</t>
  </si>
  <si>
    <t xml:space="preserve">    8.2.7</t>
  </si>
  <si>
    <t>Tubo PVC, soldavel, DN 32 mm, agua fria (nbr-5648)</t>
  </si>
  <si>
    <t xml:space="preserve"> -8.3</t>
  </si>
  <si>
    <t>09.01.02.03.</t>
  </si>
  <si>
    <t>Instalações Hidrossanitárias - Ramal e Coluna - Mão de obra</t>
  </si>
  <si>
    <t xml:space="preserve">    8.3.1</t>
  </si>
  <si>
    <t>31N</t>
  </si>
  <si>
    <t>Empreiteiro instalações hidrossanitárias  (ramal e coluna)</t>
  </si>
  <si>
    <t>PVTO</t>
  </si>
  <si>
    <t>REBOCO INTERNO</t>
  </si>
  <si>
    <t xml:space="preserve"> -9.1</t>
  </si>
  <si>
    <t>06.01.01.</t>
  </si>
  <si>
    <t>Reboco Interno - Argamassa</t>
  </si>
  <si>
    <t xml:space="preserve">    9.1.1</t>
  </si>
  <si>
    <t xml:space="preserve"> -9.2</t>
  </si>
  <si>
    <t>06.01.02.</t>
  </si>
  <si>
    <t>Reboco Interno - Mão de Obra</t>
  </si>
  <si>
    <t xml:space="preserve">    9.2.1</t>
  </si>
  <si>
    <t>39N</t>
  </si>
  <si>
    <t>Empreiteiro - Reboco Interno</t>
  </si>
  <si>
    <t xml:space="preserve">SHAFT </t>
  </si>
  <si>
    <t xml:space="preserve">   10.1</t>
  </si>
  <si>
    <t>06.02.01.</t>
  </si>
  <si>
    <t>Fechamento do Shaft - Material</t>
  </si>
  <si>
    <t xml:space="preserve"> -10.2</t>
  </si>
  <si>
    <t>06.02.02.</t>
  </si>
  <si>
    <t>Fechamento do Shaft - Mão de Obra</t>
  </si>
  <si>
    <t xml:space="preserve">    10.2.1</t>
  </si>
  <si>
    <t>11NA</t>
  </si>
  <si>
    <t>Empreiterio - Shaft</t>
  </si>
  <si>
    <t>IMPERMEABILIZAçãO DO WC</t>
  </si>
  <si>
    <t xml:space="preserve"> -11.1</t>
  </si>
  <si>
    <t>04.02.01.</t>
  </si>
  <si>
    <t>Impermeabilização do box do banheiro - Material</t>
  </si>
  <si>
    <t xml:space="preserve">    11.1.1</t>
  </si>
  <si>
    <t>Membrana impermeabilizante acrilica monocomponente</t>
  </si>
  <si>
    <t xml:space="preserve"> -11.2</t>
  </si>
  <si>
    <t>04.02.02.</t>
  </si>
  <si>
    <t>Impermeabilização do box do banheiro - Mão de Obra</t>
  </si>
  <si>
    <t xml:space="preserve">    11.2.1</t>
  </si>
  <si>
    <t>09N</t>
  </si>
  <si>
    <t>Empreiteiro Impermeabilização do box do banheiro</t>
  </si>
  <si>
    <t>CERâMICA APTOS</t>
  </si>
  <si>
    <t xml:space="preserve"> -12.1</t>
  </si>
  <si>
    <t>06.03.01.01.</t>
  </si>
  <si>
    <t xml:space="preserve">Azulejo dos apartamentos </t>
  </si>
  <si>
    <t xml:space="preserve">    12.1.1</t>
  </si>
  <si>
    <t>12NA</t>
  </si>
  <si>
    <t>Azulejo Branco 20 x 20</t>
  </si>
  <si>
    <t xml:space="preserve"> -12.2</t>
  </si>
  <si>
    <t>06.03.01.02.</t>
  </si>
  <si>
    <t>Piso cerâmico dos aparatamentos</t>
  </si>
  <si>
    <t xml:space="preserve">    12.2.1</t>
  </si>
  <si>
    <t>13N</t>
  </si>
  <si>
    <t>Piso Cerâmico Cinza 40x40</t>
  </si>
  <si>
    <t xml:space="preserve"> -12.3</t>
  </si>
  <si>
    <t>06.03.01.03.</t>
  </si>
  <si>
    <t>Soleiras</t>
  </si>
  <si>
    <t xml:space="preserve">    12.3.1</t>
  </si>
  <si>
    <t>Piso/ revestimento em granito, polido</t>
  </si>
  <si>
    <t xml:space="preserve"> -12.4</t>
  </si>
  <si>
    <t>06.03.01.04.</t>
  </si>
  <si>
    <t>Régua de Basalto Box</t>
  </si>
  <si>
    <t xml:space="preserve">    12.4.1</t>
  </si>
  <si>
    <t xml:space="preserve"> -12.5</t>
  </si>
  <si>
    <t>06.03.01.05.</t>
  </si>
  <si>
    <t>Cimento Cola, Espaçador e Rejunte para rev cerâmicos dos aptos</t>
  </si>
  <si>
    <t xml:space="preserve">    12.5.1</t>
  </si>
  <si>
    <t>Argamassa Colante - AC II</t>
  </si>
  <si>
    <t xml:space="preserve">    12.5.2</t>
  </si>
  <si>
    <t>14N</t>
  </si>
  <si>
    <t>Espaçadores para Cerâmica/Porcelanato</t>
  </si>
  <si>
    <t xml:space="preserve">    12.5.3</t>
  </si>
  <si>
    <t>Rejunte</t>
  </si>
  <si>
    <t xml:space="preserve"> -12.6</t>
  </si>
  <si>
    <t>06.03.02.01.</t>
  </si>
  <si>
    <t xml:space="preserve">Empreiteiro - Revestimentos Cerâmicos </t>
  </si>
  <si>
    <t xml:space="preserve">    12.6.1</t>
  </si>
  <si>
    <t>15N</t>
  </si>
  <si>
    <t>Empreiterio - Revestimento Cerâmico</t>
  </si>
  <si>
    <t>GESSO LISO</t>
  </si>
  <si>
    <t xml:space="preserve"> -13.1</t>
  </si>
  <si>
    <t>06.07.01.</t>
  </si>
  <si>
    <t>Gesso Liso - Material</t>
  </si>
  <si>
    <t xml:space="preserve">    13.1.1</t>
  </si>
  <si>
    <t>Gesso em po para revestimentos/molduras/sancas e uso geral</t>
  </si>
  <si>
    <t xml:space="preserve"> -13.2</t>
  </si>
  <si>
    <t>06.07.02.</t>
  </si>
  <si>
    <t>Gesso Liso - Mão de Obra</t>
  </si>
  <si>
    <t xml:space="preserve">    13.2.1</t>
  </si>
  <si>
    <t>19AN</t>
  </si>
  <si>
    <t>Empreiterio - Gesso Liso</t>
  </si>
  <si>
    <t>ESQUADRIA DE ALUMINIO</t>
  </si>
  <si>
    <t xml:space="preserve"> -14.1</t>
  </si>
  <si>
    <t>03.01.02.</t>
  </si>
  <si>
    <t xml:space="preserve">Esquadrias de Alumínio - Fornecimento/Instalação </t>
  </si>
  <si>
    <t xml:space="preserve">    14.1.1</t>
  </si>
  <si>
    <t>03.01.02.01.</t>
  </si>
  <si>
    <t>Esquadria de Alumínio 150x120 - 2 folhas de correr com veneziana</t>
  </si>
  <si>
    <t xml:space="preserve">    14.1.2</t>
  </si>
  <si>
    <t>03.01.02.02.</t>
  </si>
  <si>
    <t>Esquadria de Alumínio - 60x80 - Maxim-Air</t>
  </si>
  <si>
    <t xml:space="preserve">    14.1.3</t>
  </si>
  <si>
    <t>03.01.02.03.</t>
  </si>
  <si>
    <t>Esquadria de Alumínio - 180 x 120 - 2 folhas de correr sem veneziana</t>
  </si>
  <si>
    <t xml:space="preserve">    14.1.4</t>
  </si>
  <si>
    <t>03.01.02.04.</t>
  </si>
  <si>
    <t>Esquadria de Alumínio - 105 x 120 - 2 folhas de correr sem veneziana</t>
  </si>
  <si>
    <t xml:space="preserve">    14.1.5</t>
  </si>
  <si>
    <t>03.01.02.05.</t>
  </si>
  <si>
    <t>Esquadria de Alumínio - 120 x 120 - 2 folhas de correr com veneziana</t>
  </si>
  <si>
    <t xml:space="preserve">    14.1.6</t>
  </si>
  <si>
    <t>03.01.02.06.</t>
  </si>
  <si>
    <t>Porta de Entrada</t>
  </si>
  <si>
    <t xml:space="preserve">    14.1.7</t>
  </si>
  <si>
    <t>03.01.02.07.</t>
  </si>
  <si>
    <t>MO Instalação de Esquadrias de Alumínio</t>
  </si>
  <si>
    <t>FIAçãO</t>
  </si>
  <si>
    <t xml:space="preserve"> -15.1</t>
  </si>
  <si>
    <t>09.02.03.01.</t>
  </si>
  <si>
    <t xml:space="preserve">Instalações Elétricas - Fiação - Material </t>
  </si>
  <si>
    <t xml:space="preserve">    15.1.1</t>
  </si>
  <si>
    <t>Cabo de cobre flexível isolado, 4 mm², anti-chama 0,6/1,0 kv, para circuitos terminais - fornecimento e instalação. af_12/2015</t>
  </si>
  <si>
    <t xml:space="preserve"> -15.2</t>
  </si>
  <si>
    <t>09.02.03.02.</t>
  </si>
  <si>
    <t>Instalações Elétricas - Fiação - Mão de Obra</t>
  </si>
  <si>
    <t xml:space="preserve">    15.2.1</t>
  </si>
  <si>
    <t>34N</t>
  </si>
  <si>
    <t>Empreiteiro instalações fiação</t>
  </si>
  <si>
    <t xml:space="preserve">    15.2.2</t>
  </si>
  <si>
    <t>36N</t>
  </si>
  <si>
    <t>Empreiteiro Elétrico - Acabamentos</t>
  </si>
  <si>
    <t>FORRO</t>
  </si>
  <si>
    <t xml:space="preserve"> -16.1</t>
  </si>
  <si>
    <t>06.06.01.</t>
  </si>
  <si>
    <t>Forro dos Apartamentos - Material</t>
  </si>
  <si>
    <t xml:space="preserve">    16.1.1</t>
  </si>
  <si>
    <t>Placa / chapa de gesso acartonado, standard (st), cor branca, e = 12,5 mm, 1200 x 2400 mm (l x c)</t>
  </si>
  <si>
    <t xml:space="preserve">    16.1.2</t>
  </si>
  <si>
    <t>Perfil canaleta, formato c, em aco zincado, para estrutura forro drywall, e = 0,5 mm, *46 x 18* (l x h), comprimento 3 m</t>
  </si>
  <si>
    <t xml:space="preserve">    16.1.3</t>
  </si>
  <si>
    <t>Pendural ou presilha reguladora, em aco galvanizado, com corpo, mola e rebite, para perfil tipo canaleta de estrutura em forros drywall</t>
  </si>
  <si>
    <t xml:space="preserve">    16.1.4</t>
  </si>
  <si>
    <t>Fita de papel reforcada com lamina de metal para reforco de cantos de chapa de gesso para drywall</t>
  </si>
  <si>
    <t xml:space="preserve">    16.1.5</t>
  </si>
  <si>
    <t xml:space="preserve">    16.1.6</t>
  </si>
  <si>
    <t>Parafuso dry wall, em aco fosfatizado, cabeça trombeta e ponta agulha (ta), comprimento 25 mm</t>
  </si>
  <si>
    <t xml:space="preserve">    16.1.7</t>
  </si>
  <si>
    <t>Parafuso zincado, autobrocante, flangeado, 4,2 mm x 19 mm</t>
  </si>
  <si>
    <t>CENTO</t>
  </si>
  <si>
    <t xml:space="preserve">    16.1.8</t>
  </si>
  <si>
    <t>Arame galvanizado 6 bwg, d = 5,16 mm (0,157 kg/m), ou 8 bwg, d = 4,19 mm (0,101 kg/m), ou 10 bwg, d = 3,40 mm (0,0713 kg/m)</t>
  </si>
  <si>
    <t xml:space="preserve"> -16.2</t>
  </si>
  <si>
    <t>06.06.02.</t>
  </si>
  <si>
    <t>Forro dos Apartamentos - Mão de Obra</t>
  </si>
  <si>
    <t xml:space="preserve">    16.2.1</t>
  </si>
  <si>
    <t>19N</t>
  </si>
  <si>
    <t>Empreiteiro - Instalação de Forro de Gesso Acartonado</t>
  </si>
  <si>
    <t>DISJUNTORES E CD</t>
  </si>
  <si>
    <t xml:space="preserve">   17.1</t>
  </si>
  <si>
    <t>09.02.04.</t>
  </si>
  <si>
    <t>Instalações Elétricas -Disjuntores e CDS</t>
  </si>
  <si>
    <t>REVESTIMENTO DA CIRCULAçãO</t>
  </si>
  <si>
    <t xml:space="preserve"> -18.1</t>
  </si>
  <si>
    <t>06.04.01.01.</t>
  </si>
  <si>
    <t>Porcelanato 30 x 30 da circulação</t>
  </si>
  <si>
    <t xml:space="preserve">    18.1.1</t>
  </si>
  <si>
    <t>16N</t>
  </si>
  <si>
    <t xml:space="preserve">Porcelanato 30 x 30 </t>
  </si>
  <si>
    <t xml:space="preserve"> -18.2</t>
  </si>
  <si>
    <t>06.04.01.02.</t>
  </si>
  <si>
    <t>Cimento Cola, Espaçador e Rejunte para porcelanato da circulação</t>
  </si>
  <si>
    <t xml:space="preserve">    18.2.1</t>
  </si>
  <si>
    <t xml:space="preserve">    18.2.2</t>
  </si>
  <si>
    <t xml:space="preserve">    18.2.3</t>
  </si>
  <si>
    <t xml:space="preserve"> -18.3</t>
  </si>
  <si>
    <t>06.04.01.03.</t>
  </si>
  <si>
    <t>Basalto - Escada</t>
  </si>
  <si>
    <t xml:space="preserve">    18.3.1</t>
  </si>
  <si>
    <t xml:space="preserve"> -18.4</t>
  </si>
  <si>
    <t>06.04.02.01.</t>
  </si>
  <si>
    <t>Mão de Obra - Instalação do porcelanato da circulação</t>
  </si>
  <si>
    <t xml:space="preserve">    18.4.1</t>
  </si>
  <si>
    <t>15NA</t>
  </si>
  <si>
    <t>Empreiterio - Porcelanato</t>
  </si>
  <si>
    <t xml:space="preserve"> -18.5</t>
  </si>
  <si>
    <t>06.04.02.03.</t>
  </si>
  <si>
    <t>Mao de Obra - Instalação do piso da escada</t>
  </si>
  <si>
    <t xml:space="preserve">    18.5.1</t>
  </si>
  <si>
    <t>17N</t>
  </si>
  <si>
    <t>Empreiterio - Piso da Escada</t>
  </si>
  <si>
    <t>PINTURA INTERNA - 1ªDMãO</t>
  </si>
  <si>
    <t xml:space="preserve"> -19.1</t>
  </si>
  <si>
    <t>08.01.01.01.</t>
  </si>
  <si>
    <t>Pintura Interna - Selador</t>
  </si>
  <si>
    <t xml:space="preserve">    19.1.1</t>
  </si>
  <si>
    <t>Selador acrilico paredes internas/externas</t>
  </si>
  <si>
    <t xml:space="preserve"> -19.2</t>
  </si>
  <si>
    <t>08.01.01.02.</t>
  </si>
  <si>
    <t>Pintura Interna - Textura</t>
  </si>
  <si>
    <t xml:space="preserve">    19.2.1</t>
  </si>
  <si>
    <t>Massa para textura lisa de base acrilica, uso interno e externo</t>
  </si>
  <si>
    <t xml:space="preserve"> -19.3</t>
  </si>
  <si>
    <t>08.01.01.03.</t>
  </si>
  <si>
    <t>Pintura Interna - Tinta Acrílica Branco - 2 demão</t>
  </si>
  <si>
    <t xml:space="preserve">    19.3.1</t>
  </si>
  <si>
    <t xml:space="preserve"> -19.4</t>
  </si>
  <si>
    <t>08.01.02.01.</t>
  </si>
  <si>
    <t>Mão de Obra - Pintura Selador + Textura + Acrilica (1ª demão)</t>
  </si>
  <si>
    <t xml:space="preserve">    19.4.1</t>
  </si>
  <si>
    <t>23N</t>
  </si>
  <si>
    <t>Empreiteiro - Pintura Selador + Textura + Acrilica</t>
  </si>
  <si>
    <t xml:space="preserve"> -19.5</t>
  </si>
  <si>
    <t>08.01.02.02.</t>
  </si>
  <si>
    <t>Mão de Obra - Pintura Selador  + Acrilica (1ª demão)</t>
  </si>
  <si>
    <t xml:space="preserve">    19.5.1</t>
  </si>
  <si>
    <t>24N</t>
  </si>
  <si>
    <t>Empreiteiro - Pintura Selador  + Acrilica</t>
  </si>
  <si>
    <t>ESQUADRIAS DE FERRO</t>
  </si>
  <si>
    <t xml:space="preserve"> -20.1</t>
  </si>
  <si>
    <t>03.03.</t>
  </si>
  <si>
    <t>Esquadrias de Ferro</t>
  </si>
  <si>
    <t xml:space="preserve">    20.1.1</t>
  </si>
  <si>
    <t>03.03.01.</t>
  </si>
  <si>
    <t>Guarda Corpo - Material + Instalação</t>
  </si>
  <si>
    <t xml:space="preserve">    20.1.2</t>
  </si>
  <si>
    <t>03.03.02.</t>
  </si>
  <si>
    <t xml:space="preserve">Corrimão - Material + Instalação </t>
  </si>
  <si>
    <t>LOUçAS</t>
  </si>
  <si>
    <t xml:space="preserve"> -21.1</t>
  </si>
  <si>
    <t>09.03.01</t>
  </si>
  <si>
    <t>Louças - Material</t>
  </si>
  <si>
    <t xml:space="preserve">    21.1.1</t>
  </si>
  <si>
    <t>Bacia sanitaria (vaso) convencional, de louca branca, sifao aparente, saida vertical (sem assento)</t>
  </si>
  <si>
    <t xml:space="preserve">    21.1.2</t>
  </si>
  <si>
    <t>Tanque de louca branca, com coluna, *30* l</t>
  </si>
  <si>
    <t xml:space="preserve">    21.1.3</t>
  </si>
  <si>
    <t>Lavatorio de louca branca, com coluna, dimensoes *44 x 35* cm (l x c)</t>
  </si>
  <si>
    <t xml:space="preserve">    21.1.4</t>
  </si>
  <si>
    <t>Rejunte epoxi, qualquer cor</t>
  </si>
  <si>
    <t xml:space="preserve">    21.1.5</t>
  </si>
  <si>
    <t>Parafuso niquelado 3 1/2" com acabamento cromado para fixar peca sanitaria, inclui porca cega, arruela e bucha de nylon tamanho s-8 (tanque e lavatorio)</t>
  </si>
  <si>
    <t xml:space="preserve">    21.1.6</t>
  </si>
  <si>
    <t>Parafuso niquelado com acabamento cromado para fixar peca sanitaria, inclui porca cega, arruela e bucha de nylon tamanho s-10 (vaso)</t>
  </si>
  <si>
    <t xml:space="preserve">    21.1.7</t>
  </si>
  <si>
    <t>Vedacao PVC, 100 mm, para saida vaso sanitario</t>
  </si>
  <si>
    <t xml:space="preserve">    21.1.8</t>
  </si>
  <si>
    <t>Engate/rabicho flexivel plastico (PVC ou abs) branco 1/2 " x 30 cm (lavatorio)</t>
  </si>
  <si>
    <t xml:space="preserve">    21.1.9</t>
  </si>
  <si>
    <t>Conjunto de ligacao para bacia sanitaria ajustavel, em plastico branco, com tubo, canopla e espude</t>
  </si>
  <si>
    <t xml:space="preserve">    21.1.10</t>
  </si>
  <si>
    <t>Sifao plastico flexivel saida vertical para coluna lavatorio, 1 x 1.1/2 "</t>
  </si>
  <si>
    <t xml:space="preserve">    21.1.11</t>
  </si>
  <si>
    <t>Valvula em plastico branco para tanque ou lavatorio 1 ", sem unho e sem ladrao (tanque e lavatório)</t>
  </si>
  <si>
    <t xml:space="preserve">    21.1.12</t>
  </si>
  <si>
    <t>[2]</t>
  </si>
  <si>
    <t>Tampo Granilite Cozinha</t>
  </si>
  <si>
    <t xml:space="preserve"> -21.2</t>
  </si>
  <si>
    <t>09.03.02</t>
  </si>
  <si>
    <t>Louças - Mão de Obra</t>
  </si>
  <si>
    <t xml:space="preserve">    21.2.1</t>
  </si>
  <si>
    <t>37N</t>
  </si>
  <si>
    <t>Empreiteiro - Instalação das louças</t>
  </si>
  <si>
    <t>PISO VINILICO</t>
  </si>
  <si>
    <t xml:space="preserve"> -22.1</t>
  </si>
  <si>
    <t>06.08.01.01.</t>
  </si>
  <si>
    <t>Placa de Piso Vinilico</t>
  </si>
  <si>
    <t xml:space="preserve">    22.1.1</t>
  </si>
  <si>
    <t xml:space="preserve">Placa vinilica semiflexivel para revestimento de pisos e paredes, e = 2 mm </t>
  </si>
  <si>
    <t xml:space="preserve"> -22.2</t>
  </si>
  <si>
    <t>06.08.01.02.</t>
  </si>
  <si>
    <t>Rodapé de Piso Vinilico</t>
  </si>
  <si>
    <t xml:space="preserve">    22.2.1</t>
  </si>
  <si>
    <t>Rodape plano para piso vinilico, h = 5 cm</t>
  </si>
  <si>
    <t xml:space="preserve"> -22.3</t>
  </si>
  <si>
    <t>06.08.01.03.</t>
  </si>
  <si>
    <t>Cola de Contato - Material ( 0,14kg/m2 e 0,07kg/m)</t>
  </si>
  <si>
    <t xml:space="preserve">    22.3.1</t>
  </si>
  <si>
    <t>Adesivo acrilico/cola de contato</t>
  </si>
  <si>
    <t xml:space="preserve"> -22.4</t>
  </si>
  <si>
    <t>06.08.02.01.</t>
  </si>
  <si>
    <t>Mão de Obra Terceirizada - Instalação de Rodapé Vinilico</t>
  </si>
  <si>
    <t xml:space="preserve">    22.4.1</t>
  </si>
  <si>
    <t>20N</t>
  </si>
  <si>
    <t>Empreiteiro - Instalação de Rodapé Vinilico</t>
  </si>
  <si>
    <t xml:space="preserve"> -22.5</t>
  </si>
  <si>
    <t>06.08.02.02.</t>
  </si>
  <si>
    <t>Mão de Obra Terceirizada - Instalação de Piso Vinilico</t>
  </si>
  <si>
    <t xml:space="preserve">    22.5.1</t>
  </si>
  <si>
    <t>21N</t>
  </si>
  <si>
    <t>Empreiteiro - Instalação de Piso Vinilico</t>
  </si>
  <si>
    <t>PORTAS DE MADEIRA</t>
  </si>
  <si>
    <t xml:space="preserve"> -30.1</t>
  </si>
  <si>
    <t>03.02.</t>
  </si>
  <si>
    <t>Esquadrias de Madeira</t>
  </si>
  <si>
    <t xml:space="preserve">    30.1.1</t>
  </si>
  <si>
    <t>03.02.01.</t>
  </si>
  <si>
    <t>Porta interna de madeira 90 x 210</t>
  </si>
  <si>
    <t>03.02.02.</t>
  </si>
  <si>
    <t>Porta interna de madeira 70 x 210</t>
  </si>
  <si>
    <t>03.02.03.</t>
  </si>
  <si>
    <t>Porta interna de madeira 60 x 210</t>
  </si>
  <si>
    <t>03.02.05.</t>
  </si>
  <si>
    <t>MO Instalação de portas internas de madeira</t>
  </si>
  <si>
    <t xml:space="preserve">METAIS </t>
  </si>
  <si>
    <t xml:space="preserve"> -23.1</t>
  </si>
  <si>
    <t>09.04.01.</t>
  </si>
  <si>
    <t>Torneiras - Aquisição</t>
  </si>
  <si>
    <t xml:space="preserve">    23.1.1</t>
  </si>
  <si>
    <t>Torneira cromada de mesa para lavatorio, padrao popular, 1/2 " ou 3/4 " (ref 1193)</t>
  </si>
  <si>
    <t xml:space="preserve">    23.1.2</t>
  </si>
  <si>
    <t>Torneira cromada sem bico para tanque, padrao popular, 1/2 " ou 3/4 " (ref 1126)</t>
  </si>
  <si>
    <t>09.04.02.</t>
  </si>
  <si>
    <t>Torneiras - Instalação</t>
  </si>
  <si>
    <t>38N</t>
  </si>
  <si>
    <t>Empreiteiro - Instalação das torneiras</t>
  </si>
  <si>
    <t>PINTURA FINAL</t>
  </si>
  <si>
    <t xml:space="preserve"> -24.1</t>
  </si>
  <si>
    <t>08.01.02.03</t>
  </si>
  <si>
    <t>Mão de Obra - Pintura Final</t>
  </si>
  <si>
    <t xml:space="preserve">    24.1.1</t>
  </si>
  <si>
    <t>42N</t>
  </si>
  <si>
    <t>Empreiteiro - Pintura Final</t>
  </si>
  <si>
    <t xml:space="preserve">TELHADO </t>
  </si>
  <si>
    <t xml:space="preserve"> -25.1</t>
  </si>
  <si>
    <t>05.01.01.</t>
  </si>
  <si>
    <t>Estrutura de Madeira - Material</t>
  </si>
  <si>
    <t xml:space="preserve">    25.1.1</t>
  </si>
  <si>
    <t>Estribo com parafuso em chapa de ferro fundido de 2" x 3/16" x 35 cm, secao "u", para madeiramento de telhado</t>
  </si>
  <si>
    <t>Prego de aço polido com cabeça 19  x 36 (3 1/4  x  9)</t>
  </si>
  <si>
    <t>Parafuso, auto atarrachante, cabeça chata, fenda simples, 1/4 (6,35 mm) x 25 mm</t>
  </si>
  <si>
    <t>Caibro nao aparelhado,  *6 x 8* cm,  em macaranduba, angelim ou equivalente da regiao -  bruta</t>
  </si>
  <si>
    <t>Sarrafo nao aparelhado 2,5 x 5 cm, em macaranduba, angelim ou equivalente da regiao -  bruta</t>
  </si>
  <si>
    <t>Viga nao aparelhada  *6 x 12* cm, em macaranduba, angelim ou equivalente da regiao - bruta</t>
  </si>
  <si>
    <t>Prego de aço polido com cabeça 18 x 30 (2 3/4 x 10)</t>
  </si>
  <si>
    <t>Tabua  nao  aparelhada  *2,5 x 20* cm, em macaranduba, angelim ou equivalente da regiao - bruta</t>
  </si>
  <si>
    <t>05.01.02.</t>
  </si>
  <si>
    <t>Estrutura de Madeira - Mão de Obra</t>
  </si>
  <si>
    <t>11N</t>
  </si>
  <si>
    <t xml:space="preserve">Empreiteiro Estrutura de Madeira </t>
  </si>
  <si>
    <t>05.02.01.</t>
  </si>
  <si>
    <t>Telhamento com telha ondulada - Material</t>
  </si>
  <si>
    <t>Conjunto arruelas de vedacao 5/16" para telha fibrocimento (uma arruela metalica e uma arruela PVC - conicas)</t>
  </si>
  <si>
    <t>CJ</t>
  </si>
  <si>
    <t>Parafuso zincado rosca soberba, cabeça sextavada, 5/16 " x 250 mm, para fixacao de telha em madeira</t>
  </si>
  <si>
    <t>Telha de fibrocimento ondulada e = 6 mm, de 2,44 x 1,10 m (sem amianto)</t>
  </si>
  <si>
    <t>05.02.02.</t>
  </si>
  <si>
    <t>Telhamento com telha ondulada - Mão de Obra</t>
  </si>
  <si>
    <t>12N</t>
  </si>
  <si>
    <t>Empreiteiro Telhamento com telha ondulada</t>
  </si>
  <si>
    <t>ALGEROSA + RUFOS</t>
  </si>
  <si>
    <t xml:space="preserve"> -26.1</t>
  </si>
  <si>
    <t>05.03.01.</t>
  </si>
  <si>
    <t>Rufo - Material</t>
  </si>
  <si>
    <t>M/M</t>
  </si>
  <si>
    <t xml:space="preserve">    26.1.1</t>
  </si>
  <si>
    <t>Solda em barra de estanho-chumbo 50/50</t>
  </si>
  <si>
    <t xml:space="preserve">    26.1.2</t>
  </si>
  <si>
    <t>Selante elastico monocomponente a base de poliuretano (pu) para juntas diversas</t>
  </si>
  <si>
    <t>310ML</t>
  </si>
  <si>
    <t xml:space="preserve">    26.1.3</t>
  </si>
  <si>
    <t>Rufo interno/externo de chapa de aço galvanizada num 24, corte 25 cm</t>
  </si>
  <si>
    <t xml:space="preserve">    26.1.4</t>
  </si>
  <si>
    <t>Prego de aço polido com cabeça 18 x 27 (2 1/2 x 10)</t>
  </si>
  <si>
    <t xml:space="preserve">    26.1.5</t>
  </si>
  <si>
    <t>Rebite de aluminio vazado de repuxo, 3,2 x 8 mm (1kg = 1025 unidades)</t>
  </si>
  <si>
    <t xml:space="preserve"> -26.2</t>
  </si>
  <si>
    <t>05.03.02.</t>
  </si>
  <si>
    <t>Calha - Material</t>
  </si>
  <si>
    <t xml:space="preserve">    26.2.1</t>
  </si>
  <si>
    <t>142(1)</t>
  </si>
  <si>
    <t>40873(1)</t>
  </si>
  <si>
    <t>5061(1)</t>
  </si>
  <si>
    <t>5104(1)</t>
  </si>
  <si>
    <t>Calha quadrada de chapa de aço galvanizada num 24, corte 50 cm</t>
  </si>
  <si>
    <t xml:space="preserve"> -26.3</t>
  </si>
  <si>
    <t>05.03.03.</t>
  </si>
  <si>
    <t>Rufo + Calha - Mão de Obra</t>
  </si>
  <si>
    <t xml:space="preserve">    26.3.1</t>
  </si>
  <si>
    <t>10N</t>
  </si>
  <si>
    <t>Empreiteiro instalação de rufo + calha</t>
  </si>
  <si>
    <t>COMPLEMENTAçãO E LIMPEZA</t>
  </si>
  <si>
    <t xml:space="preserve">   27.1</t>
  </si>
  <si>
    <t>COMPLEMENTAÇÃO E LIMPEZA</t>
  </si>
  <si>
    <t>REBOCO EXTERNO</t>
  </si>
  <si>
    <t>03.01.01.</t>
  </si>
  <si>
    <t>Esquadrias de Alumínio - Contramarcos</t>
  </si>
  <si>
    <t>03.01.01.01.</t>
  </si>
  <si>
    <t>Fornecimento de Contramarcos</t>
  </si>
  <si>
    <t>03.01.01.02.</t>
  </si>
  <si>
    <t>Instalação de Contramarcos</t>
  </si>
  <si>
    <t>06.05.01.</t>
  </si>
  <si>
    <t>Revestimento de Basalto - Peitoril - Material</t>
  </si>
  <si>
    <t>Peitoril em marmore, polido, branco comum, l= *15* cm, e=  *2,0* cm, com pingadeira</t>
  </si>
  <si>
    <t>06.05.02.</t>
  </si>
  <si>
    <t>Revestimento de Basalto - Peitoril - Mão de Obra</t>
  </si>
  <si>
    <t>18N</t>
  </si>
  <si>
    <t>Empreiteiro - Instalação de Peitoril</t>
  </si>
  <si>
    <t>07.01.01</t>
  </si>
  <si>
    <t>Reboco Externo - Argamassa</t>
  </si>
  <si>
    <t>07.01.02</t>
  </si>
  <si>
    <t>Reboco Externo - Mão de Obra</t>
  </si>
  <si>
    <t>22N</t>
  </si>
  <si>
    <t>Empreiteiro - Execução de Reboco Externo</t>
  </si>
  <si>
    <t>PINTURA EXTERNA</t>
  </si>
  <si>
    <t>M²/M²</t>
  </si>
  <si>
    <t xml:space="preserve"> -29.1</t>
  </si>
  <si>
    <t>08.02.01.01.</t>
  </si>
  <si>
    <t>Pintura Externa - Selador</t>
  </si>
  <si>
    <t xml:space="preserve">    29.1.1</t>
  </si>
  <si>
    <t xml:space="preserve"> -29.2</t>
  </si>
  <si>
    <t>08.02.01.02.</t>
  </si>
  <si>
    <t>Pintura Externa - Textura</t>
  </si>
  <si>
    <t xml:space="preserve">    29.2.1</t>
  </si>
  <si>
    <t xml:space="preserve"> -29.3</t>
  </si>
  <si>
    <t>08.02.01.03.</t>
  </si>
  <si>
    <t>Pintura Externa - Tinta Acrílica Verde - 2 demão</t>
  </si>
  <si>
    <t xml:space="preserve">    29.3.1</t>
  </si>
  <si>
    <t>7356a</t>
  </si>
  <si>
    <t>Tinta acrilica premium, cor verde</t>
  </si>
  <si>
    <t xml:space="preserve"> -29.4</t>
  </si>
  <si>
    <t>08.02.02.01.</t>
  </si>
  <si>
    <t>Mão de Obra - Pintura Externa (Selador+Textura+2demão)</t>
  </si>
  <si>
    <t xml:space="preserve">    29.4.1</t>
  </si>
  <si>
    <t>25N</t>
  </si>
  <si>
    <t>Empreiteiro - Pintura Externa (Selador+Textura+2demão)</t>
  </si>
  <si>
    <t>Massa de rejunte em po para drywall</t>
  </si>
  <si>
    <t xml:space="preserve">    23.1.3</t>
  </si>
  <si>
    <t xml:space="preserve">    23.1.4</t>
  </si>
  <si>
    <t xml:space="preserve">    24.1.2</t>
  </si>
  <si>
    <t xml:space="preserve"> -24.2</t>
  </si>
  <si>
    <t xml:space="preserve">    24.2.1</t>
  </si>
  <si>
    <t xml:space="preserve">    26.1.6</t>
  </si>
  <si>
    <t xml:space="preserve">    26.1.7</t>
  </si>
  <si>
    <t xml:space="preserve">    26.1.8</t>
  </si>
  <si>
    <t xml:space="preserve">    26.3.2</t>
  </si>
  <si>
    <t xml:space="preserve">    26.3.3</t>
  </si>
  <si>
    <t xml:space="preserve"> -26.4</t>
  </si>
  <si>
    <t xml:space="preserve">    26.4.1</t>
  </si>
  <si>
    <t xml:space="preserve"> -27.1</t>
  </si>
  <si>
    <t xml:space="preserve">    27.1.1</t>
  </si>
  <si>
    <t xml:space="preserve">    27.1.2</t>
  </si>
  <si>
    <t xml:space="preserve">    27.1.3</t>
  </si>
  <si>
    <t xml:space="preserve">    27.1.4</t>
  </si>
  <si>
    <t xml:space="preserve">    27.1.5</t>
  </si>
  <si>
    <t xml:space="preserve"> -27.2</t>
  </si>
  <si>
    <t xml:space="preserve">    27.2.1</t>
  </si>
  <si>
    <t xml:space="preserve">    27.2.2</t>
  </si>
  <si>
    <t xml:space="preserve">    27.2.3</t>
  </si>
  <si>
    <t xml:space="preserve">    27.2.4</t>
  </si>
  <si>
    <t xml:space="preserve">    27.2.5</t>
  </si>
  <si>
    <t xml:space="preserve"> -27.3</t>
  </si>
  <si>
    <t xml:space="preserve">    27.3.1</t>
  </si>
  <si>
    <t xml:space="preserve">   28.1</t>
  </si>
  <si>
    <t xml:space="preserve">    29.1.2</t>
  </si>
  <si>
    <t xml:space="preserve"> -29.5</t>
  </si>
  <si>
    <t xml:space="preserve">    29.5.1</t>
  </si>
  <si>
    <t xml:space="preserve"> -30.2</t>
  </si>
  <si>
    <t xml:space="preserve">    30.2.1</t>
  </si>
  <si>
    <t xml:space="preserve"> -30.3</t>
  </si>
  <si>
    <t xml:space="preserve">    30.3.1</t>
  </si>
  <si>
    <t xml:space="preserve"> -30.4</t>
  </si>
  <si>
    <t xml:space="preserve">    30.4.1</t>
  </si>
  <si>
    <t>Hierarchy</t>
  </si>
  <si>
    <t>Code</t>
  </si>
  <si>
    <t>Name</t>
  </si>
  <si>
    <t>Target</t>
  </si>
  <si>
    <t>Predicted</t>
  </si>
  <si>
    <t>Difference</t>
  </si>
  <si>
    <t>Quantity</t>
  </si>
  <si>
    <t>Unit</t>
  </si>
  <si>
    <t>by Progress</t>
  </si>
  <si>
    <t>Start time</t>
  </si>
  <si>
    <t>End point</t>
  </si>
  <si>
    <t>Duration</t>
  </si>
  <si>
    <t>Costs</t>
  </si>
  <si>
    <t>100.0%</t>
  </si>
  <si>
    <t xml:space="preserve">   1.1</t>
  </si>
  <si>
    <t>FUND</t>
  </si>
  <si>
    <t>EST/ACAB-&gt;FUND</t>
  </si>
  <si>
    <t xml:space="preserve">   2.1</t>
  </si>
  <si>
    <t xml:space="preserve">   3.1</t>
  </si>
  <si>
    <t xml:space="preserve">   4.1</t>
  </si>
  <si>
    <t>0.0%</t>
  </si>
  <si>
    <t xml:space="preserve">   5.1</t>
  </si>
  <si>
    <t xml:space="preserve">   6.1</t>
  </si>
  <si>
    <t>PAV 1</t>
  </si>
  <si>
    <t>EST/ACAB-&gt;PAV 1</t>
  </si>
  <si>
    <t xml:space="preserve">   6.2</t>
  </si>
  <si>
    <t>PAV 2</t>
  </si>
  <si>
    <t>EST/ACAB-&gt;PAV 2</t>
  </si>
  <si>
    <t xml:space="preserve">   6.3</t>
  </si>
  <si>
    <t>PAV 3</t>
  </si>
  <si>
    <t>EST/ACAB-&gt;PAV 3</t>
  </si>
  <si>
    <t xml:space="preserve">   6.4</t>
  </si>
  <si>
    <t>PAV 4</t>
  </si>
  <si>
    <t>EST/ACAB-&gt;PAV 4</t>
  </si>
  <si>
    <t xml:space="preserve">   6.5</t>
  </si>
  <si>
    <t>COB</t>
  </si>
  <si>
    <t>EST/ACAB-&gt;COB</t>
  </si>
  <si>
    <t xml:space="preserve">   7.1</t>
  </si>
  <si>
    <t xml:space="preserve">   7.2</t>
  </si>
  <si>
    <t xml:space="preserve">   7.3</t>
  </si>
  <si>
    <t xml:space="preserve">   7.4</t>
  </si>
  <si>
    <t xml:space="preserve">   8.1</t>
  </si>
  <si>
    <t xml:space="preserve">   8.2</t>
  </si>
  <si>
    <t xml:space="preserve">   8.3</t>
  </si>
  <si>
    <t xml:space="preserve">   8.4</t>
  </si>
  <si>
    <t xml:space="preserve">   8.5</t>
  </si>
  <si>
    <t xml:space="preserve">   8.6</t>
  </si>
  <si>
    <t xml:space="preserve">   9.1</t>
  </si>
  <si>
    <t xml:space="preserve">   9.2</t>
  </si>
  <si>
    <t xml:space="preserve">   9.3</t>
  </si>
  <si>
    <t xml:space="preserve">   9.4</t>
  </si>
  <si>
    <t xml:space="preserve">   10.2</t>
  </si>
  <si>
    <t xml:space="preserve">   10.3</t>
  </si>
  <si>
    <t xml:space="preserve">   10.4</t>
  </si>
  <si>
    <t xml:space="preserve">   11.1</t>
  </si>
  <si>
    <t xml:space="preserve">   11.2</t>
  </si>
  <si>
    <t xml:space="preserve">   11.3</t>
  </si>
  <si>
    <t xml:space="preserve">   11.4</t>
  </si>
  <si>
    <t xml:space="preserve">   11.5</t>
  </si>
  <si>
    <t xml:space="preserve">   12.1</t>
  </si>
  <si>
    <t xml:space="preserve">   12.2</t>
  </si>
  <si>
    <t xml:space="preserve">   12.3</t>
  </si>
  <si>
    <t xml:space="preserve">   12.4</t>
  </si>
  <si>
    <t xml:space="preserve">   13.1</t>
  </si>
  <si>
    <t xml:space="preserve">   13.2</t>
  </si>
  <si>
    <t xml:space="preserve">   13.3</t>
  </si>
  <si>
    <t xml:space="preserve">   13.4</t>
  </si>
  <si>
    <t xml:space="preserve">   14.1</t>
  </si>
  <si>
    <t xml:space="preserve">   14.2</t>
  </si>
  <si>
    <t xml:space="preserve">   14.3</t>
  </si>
  <si>
    <t xml:space="preserve">   14.4</t>
  </si>
  <si>
    <t xml:space="preserve">   15.1</t>
  </si>
  <si>
    <t xml:space="preserve">   15.2</t>
  </si>
  <si>
    <t xml:space="preserve">   15.3</t>
  </si>
  <si>
    <t xml:space="preserve">   15.4</t>
  </si>
  <si>
    <t xml:space="preserve">   16.1</t>
  </si>
  <si>
    <t xml:space="preserve">   16.2</t>
  </si>
  <si>
    <t xml:space="preserve">   16.3</t>
  </si>
  <si>
    <t xml:space="preserve">   16.4</t>
  </si>
  <si>
    <t xml:space="preserve">   17.2</t>
  </si>
  <si>
    <t xml:space="preserve">   17.3</t>
  </si>
  <si>
    <t xml:space="preserve">   17.4</t>
  </si>
  <si>
    <t xml:space="preserve">   18.1</t>
  </si>
  <si>
    <t xml:space="preserve">   18.2</t>
  </si>
  <si>
    <t xml:space="preserve">   18.3</t>
  </si>
  <si>
    <t xml:space="preserve">   18.4</t>
  </si>
  <si>
    <t xml:space="preserve">   19.1</t>
  </si>
  <si>
    <t xml:space="preserve">   19.2</t>
  </si>
  <si>
    <t xml:space="preserve">   19.3</t>
  </si>
  <si>
    <t xml:space="preserve">   19.4</t>
  </si>
  <si>
    <t xml:space="preserve">   20.1</t>
  </si>
  <si>
    <t xml:space="preserve">   20.2</t>
  </si>
  <si>
    <t xml:space="preserve">   20.3</t>
  </si>
  <si>
    <t xml:space="preserve">   21.1</t>
  </si>
  <si>
    <t xml:space="preserve">   21.2</t>
  </si>
  <si>
    <t xml:space="preserve">   21.3</t>
  </si>
  <si>
    <t xml:space="preserve">   21.4</t>
  </si>
  <si>
    <t xml:space="preserve">   22.1</t>
  </si>
  <si>
    <t xml:space="preserve">   22.2</t>
  </si>
  <si>
    <t xml:space="preserve">   22.3</t>
  </si>
  <si>
    <t xml:space="preserve">   22.4</t>
  </si>
  <si>
    <t xml:space="preserve">   23.1</t>
  </si>
  <si>
    <t xml:space="preserve">   23.2</t>
  </si>
  <si>
    <t xml:space="preserve">   23.3</t>
  </si>
  <si>
    <t xml:space="preserve">   23.4</t>
  </si>
  <si>
    <t xml:space="preserve">   24.1</t>
  </si>
  <si>
    <t xml:space="preserve">   24.2</t>
  </si>
  <si>
    <t xml:space="preserve">   24.3</t>
  </si>
  <si>
    <t xml:space="preserve">   24.4</t>
  </si>
  <si>
    <t xml:space="preserve">   25.1</t>
  </si>
  <si>
    <t xml:space="preserve">   26.1</t>
  </si>
  <si>
    <t>EST/ACAB</t>
  </si>
  <si>
    <t>ESQUERDA</t>
  </si>
  <si>
    <t>FAC-&gt;ESQUERDA</t>
  </si>
  <si>
    <t xml:space="preserve">   28.2</t>
  </si>
  <si>
    <t>FUNDOS</t>
  </si>
  <si>
    <t>FAC-&gt;FUNDOS</t>
  </si>
  <si>
    <t xml:space="preserve">   28.3</t>
  </si>
  <si>
    <t>DIREITA</t>
  </si>
  <si>
    <t>FAC-&gt;DIREITA</t>
  </si>
  <si>
    <t xml:space="preserve">   28.4</t>
  </si>
  <si>
    <t>FRONTAL</t>
  </si>
  <si>
    <t>FAC-&gt;FRONTAL</t>
  </si>
  <si>
    <t xml:space="preserve">   29.1</t>
  </si>
  <si>
    <t xml:space="preserve">   29.2</t>
  </si>
  <si>
    <t xml:space="preserve">   29.3</t>
  </si>
  <si>
    <t xml:space="preserve">   29.4</t>
  </si>
  <si>
    <t xml:space="preserve">   30.1</t>
  </si>
  <si>
    <t xml:space="preserve">   30.2</t>
  </si>
  <si>
    <t xml:space="preserve">   30.3</t>
  </si>
  <si>
    <t xml:space="preserve">   30.4</t>
  </si>
  <si>
    <t>TIPO</t>
  </si>
  <si>
    <t>PROCESSO</t>
  </si>
  <si>
    <t>atividade</t>
  </si>
  <si>
    <t>Costs Plan</t>
  </si>
  <si>
    <t>CUSTO DIRETO</t>
  </si>
  <si>
    <t>Segunda</t>
  </si>
  <si>
    <t xml:space="preserve">Terca </t>
  </si>
  <si>
    <t>Quarta</t>
  </si>
  <si>
    <t>Quinta</t>
  </si>
  <si>
    <t>Sexta</t>
  </si>
  <si>
    <t xml:space="preserve">Sabado </t>
  </si>
  <si>
    <t>Domingo</t>
  </si>
  <si>
    <t>SEMANA</t>
  </si>
  <si>
    <t>Rótulos de Linha</t>
  </si>
  <si>
    <t>Total Geral</t>
  </si>
  <si>
    <t>Soma de Costs</t>
  </si>
  <si>
    <t xml:space="preserve">SEMANA </t>
  </si>
  <si>
    <t>PLANEJADO</t>
  </si>
  <si>
    <t>EXECUTADO</t>
  </si>
  <si>
    <t>R$ semana</t>
  </si>
  <si>
    <t>% semana</t>
  </si>
  <si>
    <t>% acumulado</t>
  </si>
  <si>
    <t>R$ acumulado</t>
  </si>
  <si>
    <t>DURACAO DECORRIDA</t>
  </si>
  <si>
    <t>AVANCO FISICO</t>
  </si>
  <si>
    <t>TERMINALIDADE</t>
  </si>
  <si>
    <t>ADERENCIA AO LOTE</t>
  </si>
  <si>
    <t>Data de Status</t>
  </si>
  <si>
    <t>Termino da Obra</t>
  </si>
  <si>
    <t>Inicio da Obra</t>
  </si>
  <si>
    <t>Prazo Total</t>
  </si>
  <si>
    <t>Dias Faltantes</t>
  </si>
  <si>
    <t>Planejado</t>
  </si>
  <si>
    <t>Executado</t>
  </si>
  <si>
    <t>IDP</t>
  </si>
  <si>
    <t>Desvio</t>
  </si>
  <si>
    <t>DESVIO</t>
  </si>
  <si>
    <t>ANALISE DE LONGO PRAZO</t>
  </si>
  <si>
    <t>EXE Start</t>
  </si>
  <si>
    <t>EXE End</t>
  </si>
  <si>
    <t>EXE Duration</t>
  </si>
  <si>
    <t>EXE by Progress</t>
  </si>
  <si>
    <t>Soma de Executado</t>
  </si>
  <si>
    <t>ZSREW</t>
  </si>
  <si>
    <t>TERRENO</t>
  </si>
  <si>
    <t>ENTRADA</t>
  </si>
  <si>
    <t>SAÍDA</t>
  </si>
  <si>
    <t>TOTAL</t>
  </si>
  <si>
    <t>FLUXO DE CAIXA - EMPREENDIMENTO NATBIM</t>
  </si>
  <si>
    <t>Data de Referência:</t>
  </si>
  <si>
    <t>Nº APTOS</t>
  </si>
  <si>
    <t>PREÇO MÉDIO 
DE VENDA</t>
  </si>
  <si>
    <t>LOCAÇÃO E GABARITO</t>
  </si>
  <si>
    <t>material</t>
  </si>
  <si>
    <t>mão de obra</t>
  </si>
  <si>
    <t>ATIVIDADE</t>
  </si>
  <si>
    <t>insumo</t>
  </si>
  <si>
    <t>serviço</t>
  </si>
  <si>
    <t>R$ total</t>
  </si>
  <si>
    <t>R$ unitário</t>
  </si>
  <si>
    <t>unidade</t>
  </si>
  <si>
    <t>qtde</t>
  </si>
  <si>
    <t>item</t>
  </si>
  <si>
    <t>código</t>
  </si>
  <si>
    <t>nível</t>
  </si>
  <si>
    <t>classificação</t>
  </si>
  <si>
    <t>MO/MT</t>
  </si>
  <si>
    <t>(vazio)</t>
  </si>
  <si>
    <t>Rótulos de Coluna</t>
  </si>
  <si>
    <t>Soma de R$ total</t>
  </si>
  <si>
    <t>FLUXO DE CAIXA</t>
  </si>
  <si>
    <t>%MAT</t>
  </si>
  <si>
    <t>R$ MAT</t>
  </si>
  <si>
    <t>R$ MO</t>
  </si>
  <si>
    <t>%MO</t>
  </si>
  <si>
    <t>DATA MAT</t>
  </si>
  <si>
    <t>DATA MO</t>
  </si>
  <si>
    <t>&lt;01/08/2021</t>
  </si>
  <si>
    <t>2021</t>
  </si>
  <si>
    <t>ago</t>
  </si>
  <si>
    <t>set</t>
  </si>
  <si>
    <t>out</t>
  </si>
  <si>
    <t>nov</t>
  </si>
  <si>
    <t>dez</t>
  </si>
  <si>
    <t>2022</t>
  </si>
  <si>
    <t>jan</t>
  </si>
  <si>
    <t>fev</t>
  </si>
  <si>
    <t>mar</t>
  </si>
  <si>
    <t>abr</t>
  </si>
  <si>
    <t>mai</t>
  </si>
  <si>
    <t>Soma de R$ MAT</t>
  </si>
  <si>
    <t>&lt;04/09/2021</t>
  </si>
  <si>
    <t>jun</t>
  </si>
  <si>
    <t>Soma de R$ MO</t>
  </si>
  <si>
    <t>EVENTOS</t>
  </si>
  <si>
    <t>Mobilização do Canteiro</t>
  </si>
  <si>
    <t>Desmobilização do Canteiro</t>
  </si>
  <si>
    <t>Entrega</t>
  </si>
  <si>
    <t>Vistoria</t>
  </si>
  <si>
    <t>Und</t>
  </si>
  <si>
    <t>Quant.</t>
  </si>
  <si>
    <t>Valor Unit</t>
  </si>
  <si>
    <t>Total</t>
  </si>
  <si>
    <t>CLASSIFICAÇÃO 1</t>
  </si>
  <si>
    <t>CLASSIFICAÇÃO 2</t>
  </si>
  <si>
    <t>CLASSIFICAÇÃO 3</t>
  </si>
  <si>
    <t>EQUIPAMENTOS E FERRAMENTAS</t>
  </si>
  <si>
    <t>2.1</t>
  </si>
  <si>
    <t>ESCAVAÇÃO</t>
  </si>
  <si>
    <t>2.1.1</t>
  </si>
  <si>
    <t xml:space="preserve">Locação de Retroescavadeira </t>
  </si>
  <si>
    <t>mês</t>
  </si>
  <si>
    <t>Variável</t>
  </si>
  <si>
    <t>Processo</t>
  </si>
  <si>
    <t>Locação até Contrapiso</t>
  </si>
  <si>
    <t>2.1.2</t>
  </si>
  <si>
    <t>Locação de Bobcat</t>
  </si>
  <si>
    <t>2.2</t>
  </si>
  <si>
    <t>ANDAIME FACHADEIRO</t>
  </si>
  <si>
    <t>2.2.2</t>
  </si>
  <si>
    <t>Andaime Fachadeiro - Montagem + Frete</t>
  </si>
  <si>
    <t>evento</t>
  </si>
  <si>
    <t>Fixo</t>
  </si>
  <si>
    <t>Início</t>
  </si>
  <si>
    <t>2.2.3</t>
  </si>
  <si>
    <t>Andaime Fachadeiro - Locação</t>
  </si>
  <si>
    <t>2.2.4</t>
  </si>
  <si>
    <t>Andaime Fachadeiro - Desmontagem + Frete</t>
  </si>
  <si>
    <t>Término</t>
  </si>
  <si>
    <t>2.3</t>
  </si>
  <si>
    <t>TRANSPORTE HORIZONTAL E VERTICAL</t>
  </si>
  <si>
    <t>2.3.1</t>
  </si>
  <si>
    <t>Locação de Caminhão Munck</t>
  </si>
  <si>
    <t>2.3.2</t>
  </si>
  <si>
    <t>Locação de Skytrack</t>
  </si>
  <si>
    <t>2.4</t>
  </si>
  <si>
    <t>ELEVADOR CREMALHEIRA</t>
  </si>
  <si>
    <t>2.4.1</t>
  </si>
  <si>
    <t>Elevador Cremalheira - Mobilização</t>
  </si>
  <si>
    <t>2.4.2</t>
  </si>
  <si>
    <t xml:space="preserve">Elevador Cremalheira - Locação </t>
  </si>
  <si>
    <t>2.4.3</t>
  </si>
  <si>
    <t>Elevador Cremalheira - Desmobilização</t>
  </si>
  <si>
    <t>2.5</t>
  </si>
  <si>
    <t>BALANCIM</t>
  </si>
  <si>
    <t>2.5.1</t>
  </si>
  <si>
    <t>Andaime suspenso elétrico (balancim) - Locação</t>
  </si>
  <si>
    <t>2.5.2</t>
  </si>
  <si>
    <t>Andaime suspenso elétrico (balancim) - Troca de Fachada</t>
  </si>
  <si>
    <t>2.5.3</t>
  </si>
  <si>
    <t xml:space="preserve">Andaime suspenso elétrico (balancim) - Montagem </t>
  </si>
  <si>
    <t>2.5.4</t>
  </si>
  <si>
    <t>Andaime suspenso elétrico (balancim) - Desmontagem</t>
  </si>
  <si>
    <t>Pintura Externa</t>
  </si>
  <si>
    <t>2.6</t>
  </si>
  <si>
    <t>LOCAÇÃO DE EQUIPAMENTOS GERAIS</t>
  </si>
  <si>
    <t>2.6.1</t>
  </si>
  <si>
    <t>Locação de Escoras Metálicas</t>
  </si>
  <si>
    <t>Estrutura Moldado in Loco</t>
  </si>
  <si>
    <t>2.6.2</t>
  </si>
  <si>
    <t>Locação de Lava Jato</t>
  </si>
  <si>
    <t>2.6.3</t>
  </si>
  <si>
    <t>Locação de Betoneira</t>
  </si>
  <si>
    <t>2.6.4</t>
  </si>
  <si>
    <t>Locação de Serra circular</t>
  </si>
  <si>
    <t>Fundação - Estrutura Moldado in Loco</t>
  </si>
  <si>
    <t>2.6.5</t>
  </si>
  <si>
    <t>Locação de Bomba de recalque e submersa</t>
  </si>
  <si>
    <t>2.6.6</t>
  </si>
  <si>
    <t xml:space="preserve">Locação de Martelo Rompedor </t>
  </si>
  <si>
    <t>2.7</t>
  </si>
  <si>
    <t>AQUISIÇÃO DE EQUIPAMENTOS GERAIS</t>
  </si>
  <si>
    <t>2.7.1</t>
  </si>
  <si>
    <t>Aquisição de Lava Jato</t>
  </si>
  <si>
    <t>und</t>
  </si>
  <si>
    <t>2.7.2</t>
  </si>
  <si>
    <t>Aquisição de Betoneira</t>
  </si>
  <si>
    <t>2.7.3</t>
  </si>
  <si>
    <t>Aquisição de Serra circular</t>
  </si>
  <si>
    <t>2.7.4</t>
  </si>
  <si>
    <t>Aquisição de Bomba de recalque e submersa</t>
  </si>
  <si>
    <t>2.7.5</t>
  </si>
  <si>
    <t xml:space="preserve">Aquisição de Martelo Rompedor </t>
  </si>
  <si>
    <t>2.8</t>
  </si>
  <si>
    <t>AQUISIÇÃO DE FERRAMENTAS</t>
  </si>
  <si>
    <t>2.8.1</t>
  </si>
  <si>
    <t>Carrinho de Mão</t>
  </si>
  <si>
    <t>2.8.2</t>
  </si>
  <si>
    <t>Nível à Laser</t>
  </si>
  <si>
    <t>INSTALAÇÕES PROVISÓRIAS E CONSUMOS</t>
  </si>
  <si>
    <t>3.1</t>
  </si>
  <si>
    <t>CONSTRUÇÃO DAS INSTALAÇÕES PROVISÓRIAS</t>
  </si>
  <si>
    <t>3.1.1</t>
  </si>
  <si>
    <t>Limpeza do terreno (em frente do empreendimento)</t>
  </si>
  <si>
    <t>vb</t>
  </si>
  <si>
    <t>Evento</t>
  </si>
  <si>
    <t>3.1.2</t>
  </si>
  <si>
    <t>Tapume da obra</t>
  </si>
  <si>
    <t>3.1.3</t>
  </si>
  <si>
    <t>Construção das instalações provisórias (escritório/refeitório/almoxarifado) - material</t>
  </si>
  <si>
    <t>3.1.4</t>
  </si>
  <si>
    <t>Construção das instalações provisórias (escritório/refeitório/almoxarifado) - mão de obra</t>
  </si>
  <si>
    <t>3.1.5</t>
  </si>
  <si>
    <t>Instalações elétricas provisórias canteiro - material</t>
  </si>
  <si>
    <t>3.1.6</t>
  </si>
  <si>
    <t>Instalações elétricas provisórias canteiro - mão de obra</t>
  </si>
  <si>
    <t>3.1.7</t>
  </si>
  <si>
    <t>Aquisição de mobiliário para escritório e refeitório</t>
  </si>
  <si>
    <t>3.1.8</t>
  </si>
  <si>
    <t>Aquisição de equipamentos de informatica e telefonia</t>
  </si>
  <si>
    <t>3.1.9</t>
  </si>
  <si>
    <t>Frete para importação de materiais de outras obras</t>
  </si>
  <si>
    <t>3.1.10</t>
  </si>
  <si>
    <t>Bases de concreto armado  (silo, elevador cremalheira, carpintaria)</t>
  </si>
  <si>
    <t>3.1.11</t>
  </si>
  <si>
    <t>Desmobilização do canteiro de obras</t>
  </si>
  <si>
    <t>3.1.12</t>
  </si>
  <si>
    <t>Rachão - Acesso</t>
  </si>
  <si>
    <t>3.1.13</t>
  </si>
  <si>
    <t>Placa de Obra</t>
  </si>
  <si>
    <t>3.2</t>
  </si>
  <si>
    <t>LIMPEZA DA OBRA</t>
  </si>
  <si>
    <t>3.2.1</t>
  </si>
  <si>
    <t xml:space="preserve">Locação de entulho </t>
  </si>
  <si>
    <t>prazo total</t>
  </si>
  <si>
    <t>3.2.2</t>
  </si>
  <si>
    <t>Dutos para retirada de entulhos</t>
  </si>
  <si>
    <t>3.3</t>
  </si>
  <si>
    <t>DESPESAS MENSAIS</t>
  </si>
  <si>
    <t>3.3.1</t>
  </si>
  <si>
    <t>Aluguel de container sanitário</t>
  </si>
  <si>
    <t>3.3.2</t>
  </si>
  <si>
    <t>Material de escritorio de obra (expediente)</t>
  </si>
  <si>
    <t>3.3.4</t>
  </si>
  <si>
    <t>Despesas com Farmácia</t>
  </si>
  <si>
    <t>3.3.5</t>
  </si>
  <si>
    <t>Conta de Água</t>
  </si>
  <si>
    <t>3.3.6</t>
  </si>
  <si>
    <t>Conta de Luz</t>
  </si>
  <si>
    <t>3.3.7</t>
  </si>
  <si>
    <t>Contas de Telefone e Internet</t>
  </si>
  <si>
    <t>3.3.8</t>
  </si>
  <si>
    <t>Locação gerador</t>
  </si>
  <si>
    <t>3.3.9</t>
  </si>
  <si>
    <t>Plotagem de projetos</t>
  </si>
  <si>
    <t>3.3.10</t>
  </si>
  <si>
    <t>Motoboy</t>
  </si>
  <si>
    <t>3.4</t>
  </si>
  <si>
    <t xml:space="preserve">SEGURANÇA PATRIMONIAL </t>
  </si>
  <si>
    <t>3.4.1</t>
  </si>
  <si>
    <t>Custo mensal da Vigilância Terceirizada</t>
  </si>
  <si>
    <t>3.4.2</t>
  </si>
  <si>
    <t xml:space="preserve">Gastos com câmeras de segurança, alarme de segurança, sensores de presença etc </t>
  </si>
  <si>
    <t>3.5</t>
  </si>
  <si>
    <t>EPI's</t>
  </si>
  <si>
    <t>3.5.1</t>
  </si>
  <si>
    <t>Capacetes, botas, calças, camisetas, jaquetas e capas de chuvas</t>
  </si>
  <si>
    <t>3.5.2</t>
  </si>
  <si>
    <t>Protetor auricular, facial, protetor solar,  máscara e óculos</t>
  </si>
  <si>
    <t>3.5.3</t>
  </si>
  <si>
    <t>Luvas aventais e abafador</t>
  </si>
  <si>
    <t>3.5.4</t>
  </si>
  <si>
    <t>Cintos de segurança, talabarte e travaquedas</t>
  </si>
  <si>
    <t>3.6</t>
  </si>
  <si>
    <t>CONTROLE TECNOLOGICO</t>
  </si>
  <si>
    <t>3.6.1</t>
  </si>
  <si>
    <t>Controle tecnológico das estacas</t>
  </si>
  <si>
    <t>3.6.2</t>
  </si>
  <si>
    <t>Controle tecnológico de qualidade de concreto e grout</t>
  </si>
  <si>
    <t>3.6.3</t>
  </si>
  <si>
    <t>Controle  tecnológico de qualidade de alvenaria estrutural</t>
  </si>
  <si>
    <t>Alvenaria Estrutural</t>
  </si>
  <si>
    <t>3.7</t>
  </si>
  <si>
    <t>CONSULTORIAS</t>
  </si>
  <si>
    <t>3.7.1</t>
  </si>
  <si>
    <t>Consultoria de Segurança</t>
  </si>
  <si>
    <t>3.7.2</t>
  </si>
  <si>
    <t>Consultoria de Qualidade</t>
  </si>
  <si>
    <t>3.7.3</t>
  </si>
  <si>
    <t>Consultoria de Planejamento</t>
  </si>
  <si>
    <t>Administração Central</t>
  </si>
  <si>
    <t>4.1</t>
  </si>
  <si>
    <t>Engenheiro Residente</t>
  </si>
  <si>
    <t>4.1.1</t>
  </si>
  <si>
    <t>Engenheiro Residente - Mês</t>
  </si>
  <si>
    <t>4.1.2</t>
  </si>
  <si>
    <t>Engenheiro Residente - Hora Extra</t>
  </si>
  <si>
    <t>4.1.3</t>
  </si>
  <si>
    <t>Engenheiro Residente - Vale Transporte</t>
  </si>
  <si>
    <t>4.1.4</t>
  </si>
  <si>
    <t>Engenheiro Residente - Vale Refeição</t>
  </si>
  <si>
    <t>4.1.5</t>
  </si>
  <si>
    <t>Engenheiro Residente - INSS | FGTS | Receita Federal</t>
  </si>
  <si>
    <t>4.1.6</t>
  </si>
  <si>
    <t>Engenheiro Residente - Sindicatos | Assessorias | Seguros</t>
  </si>
  <si>
    <t>4.1.7</t>
  </si>
  <si>
    <t>Engenheiro Residente - Exames admissionais, periódicos, demissionais</t>
  </si>
  <si>
    <t>4.1.8</t>
  </si>
  <si>
    <t>Engenheiro Residente - 13º salário</t>
  </si>
  <si>
    <t>4.1.9</t>
  </si>
  <si>
    <t>Engenheiro Residente - Férias (1/3)</t>
  </si>
  <si>
    <t>4.1.10</t>
  </si>
  <si>
    <t>Engenheiro Residente - Venda de férias</t>
  </si>
  <si>
    <t>4.1.11</t>
  </si>
  <si>
    <t>Engenheiro Residente - Rescisão</t>
  </si>
  <si>
    <t>4.2</t>
  </si>
  <si>
    <t>Mestre de Obras</t>
  </si>
  <si>
    <t>4.2.1</t>
  </si>
  <si>
    <t>Mestre de Obras - Mês</t>
  </si>
  <si>
    <t>4.2.2</t>
  </si>
  <si>
    <t>Mestre de Obras - Hora Extra</t>
  </si>
  <si>
    <t>4.2.3</t>
  </si>
  <si>
    <t>Mestre de Obras - Vale Transporte</t>
  </si>
  <si>
    <t>4.2.4</t>
  </si>
  <si>
    <t>Mestre de Obras - Vale Refeição</t>
  </si>
  <si>
    <t>4.2.5</t>
  </si>
  <si>
    <t>Mestre de Obras - INSS | FGTS | Receita Federal</t>
  </si>
  <si>
    <t>4.2.6</t>
  </si>
  <si>
    <t>Mestre de Obras - Sindicatos | Assessorias | Seguros</t>
  </si>
  <si>
    <t>4.2.7</t>
  </si>
  <si>
    <t>Mestre de Obras - Exames admissionais, periódicos, demissionais</t>
  </si>
  <si>
    <t>4.2.8</t>
  </si>
  <si>
    <t>Mestre de Obras - 13º salário</t>
  </si>
  <si>
    <t>4.2.9</t>
  </si>
  <si>
    <t>Mestre de Obras - Férias (1/3)</t>
  </si>
  <si>
    <t>4.2.10</t>
  </si>
  <si>
    <t>Mestre de Obras - Venda de férias</t>
  </si>
  <si>
    <t>4.2.11</t>
  </si>
  <si>
    <t>Mestre de Obras - Rescisão</t>
  </si>
  <si>
    <t>4.3</t>
  </si>
  <si>
    <t>Encarregado</t>
  </si>
  <si>
    <t>4.3.1</t>
  </si>
  <si>
    <t>Encarregado 01 - Mês</t>
  </si>
  <si>
    <t>4.3.2</t>
  </si>
  <si>
    <t>Encarregado 01 - Hora Extra</t>
  </si>
  <si>
    <t>4.3.3</t>
  </si>
  <si>
    <t>Encarregado 01 - Vale Transporte</t>
  </si>
  <si>
    <t>4.3.4</t>
  </si>
  <si>
    <t>Encarregado 01 - Vale Refeição</t>
  </si>
  <si>
    <t>4.3.5</t>
  </si>
  <si>
    <t>Encarregado 01 - INSS | FGTS | Receita Federal</t>
  </si>
  <si>
    <t>4.3.6</t>
  </si>
  <si>
    <t>Encarregado 01 - Sindicatos | Assessorias | Seguros</t>
  </si>
  <si>
    <t>4.3.7</t>
  </si>
  <si>
    <t>Encarregado 01 - Exames admissionais, periódicos, demissionais</t>
  </si>
  <si>
    <t>4.3.8</t>
  </si>
  <si>
    <t>Encarregado 01 - 13º salário</t>
  </si>
  <si>
    <t>4.3.9</t>
  </si>
  <si>
    <t>Encarregado 01 - Férias (1/3)</t>
  </si>
  <si>
    <t>4.3.10</t>
  </si>
  <si>
    <t>Encarregado 01 - Venda de férias</t>
  </si>
  <si>
    <t>4.3.11</t>
  </si>
  <si>
    <t>Encarregado 01 - Rescisão</t>
  </si>
  <si>
    <t>Projetos e Aprovações</t>
  </si>
  <si>
    <t>5.1</t>
  </si>
  <si>
    <t>Elaboração de Projetos</t>
  </si>
  <si>
    <t>5.1.1</t>
  </si>
  <si>
    <t>Projeto Arquitetônico</t>
  </si>
  <si>
    <t>Projeto</t>
  </si>
  <si>
    <t>5.1.2</t>
  </si>
  <si>
    <t>Projeto Estrutural</t>
  </si>
  <si>
    <t>5.1.3</t>
  </si>
  <si>
    <t>Projeto Instalações Hidrossanitário Predial</t>
  </si>
  <si>
    <t>5.1.4</t>
  </si>
  <si>
    <t>Projeto Instalações Elétrico Predial</t>
  </si>
  <si>
    <t>5.1.5</t>
  </si>
  <si>
    <t>Projeto de Ar Condicionado</t>
  </si>
  <si>
    <t>5.1.6</t>
  </si>
  <si>
    <t>Projeto de Gás</t>
  </si>
  <si>
    <t>5.1.7</t>
  </si>
  <si>
    <t>Projeto de PPCI</t>
  </si>
  <si>
    <t>5.1.8</t>
  </si>
  <si>
    <t>Projeto Paisagístico</t>
  </si>
  <si>
    <t>5.1.9</t>
  </si>
  <si>
    <t>Planialtimetrico</t>
  </si>
  <si>
    <t>5.1.10</t>
  </si>
  <si>
    <t>Sondagem</t>
  </si>
  <si>
    <t>5.2</t>
  </si>
  <si>
    <t>Licenciamento</t>
  </si>
  <si>
    <t>5.2.1</t>
  </si>
  <si>
    <t>Licenciamento Ambiental</t>
  </si>
  <si>
    <t>5.2.2</t>
  </si>
  <si>
    <t>Compensação Ambiental</t>
  </si>
  <si>
    <t>5.2.3</t>
  </si>
  <si>
    <t>Transplante de árvores</t>
  </si>
  <si>
    <t>5.3</t>
  </si>
  <si>
    <t>Taxas</t>
  </si>
  <si>
    <t>5.3.1</t>
  </si>
  <si>
    <t>Taxa de aprovação de projeto legal</t>
  </si>
  <si>
    <t>5.3.2</t>
  </si>
  <si>
    <t>Taxa de ligação de água</t>
  </si>
  <si>
    <t>5.3.3</t>
  </si>
  <si>
    <t>Taxa de vistoria de bombeirs</t>
  </si>
  <si>
    <t>5.3.4</t>
  </si>
  <si>
    <t>Taxa de habite-se</t>
  </si>
  <si>
    <t>Sede</t>
  </si>
  <si>
    <t>6.1</t>
  </si>
  <si>
    <t>Assessorias</t>
  </si>
  <si>
    <t>6.1.1</t>
  </si>
  <si>
    <t>Assessoria Contábil</t>
  </si>
  <si>
    <t>6.1.2</t>
  </si>
  <si>
    <t>Assessoria de Site</t>
  </si>
  <si>
    <t>6.1.3</t>
  </si>
  <si>
    <t>Assessoria de RH</t>
  </si>
  <si>
    <t>6.1.4</t>
  </si>
  <si>
    <t>Assessoria Jurídica</t>
  </si>
  <si>
    <t>6.2</t>
  </si>
  <si>
    <t>Despesas Bancárias</t>
  </si>
  <si>
    <t>6.2.1</t>
  </si>
  <si>
    <t>Tarifa de manutenção de conta corrente</t>
  </si>
  <si>
    <t>6.2.2</t>
  </si>
  <si>
    <t>Taxa de acompanhamento de operação</t>
  </si>
  <si>
    <t>6.2.3</t>
  </si>
  <si>
    <t>Taxa da construtora</t>
  </si>
  <si>
    <t>6.3</t>
  </si>
  <si>
    <t>Seguros</t>
  </si>
  <si>
    <t>6.3.1</t>
  </si>
  <si>
    <t>Seguro risco de engenharia</t>
  </si>
  <si>
    <t>6.3.2</t>
  </si>
  <si>
    <t>Seguro multirisco</t>
  </si>
  <si>
    <t>6.3.3</t>
  </si>
  <si>
    <t>Seguro infra</t>
  </si>
  <si>
    <t>6.4</t>
  </si>
  <si>
    <t>Incorporação</t>
  </si>
  <si>
    <t>6.4.1</t>
  </si>
  <si>
    <t>Honorários para incorporação</t>
  </si>
  <si>
    <t>6.4.2</t>
  </si>
  <si>
    <t>Certidões e narratórias para incorporação</t>
  </si>
  <si>
    <t>6.4.3</t>
  </si>
  <si>
    <t>Autenticações e Reconhecimentos</t>
  </si>
  <si>
    <t>6.4.4</t>
  </si>
  <si>
    <t>Registro de incorporação</t>
  </si>
  <si>
    <t>6.4.5</t>
  </si>
  <si>
    <t xml:space="preserve">Averbação da construção </t>
  </si>
  <si>
    <t>6.5</t>
  </si>
  <si>
    <t>Despesas do escritório central</t>
  </si>
  <si>
    <t>6.5.1</t>
  </si>
  <si>
    <t>Rateio de custos do escritório central</t>
  </si>
  <si>
    <t>6.5.2</t>
  </si>
  <si>
    <t>Reembolsos visitas obra</t>
  </si>
  <si>
    <t>6.5.3</t>
  </si>
  <si>
    <t>Softwares</t>
  </si>
  <si>
    <t>Comercialização</t>
  </si>
  <si>
    <t>7.1</t>
  </si>
  <si>
    <t>Impostos</t>
  </si>
  <si>
    <t>7.1.1</t>
  </si>
  <si>
    <t>Impostos sobre o Faturamento</t>
  </si>
  <si>
    <t>apto</t>
  </si>
  <si>
    <t>Vendas</t>
  </si>
  <si>
    <t>7.2</t>
  </si>
  <si>
    <t>Comissões de vendas</t>
  </si>
  <si>
    <t>7.2.1</t>
  </si>
  <si>
    <t>Imobiliárias - Comissão de vendas</t>
  </si>
  <si>
    <t>7.3</t>
  </si>
  <si>
    <t>Plantão de Vendas e Decorado</t>
  </si>
  <si>
    <t>7.3.1</t>
  </si>
  <si>
    <t>Construção do Plantão de Vendas</t>
  </si>
  <si>
    <t>7.3.2</t>
  </si>
  <si>
    <t>Construção do Decorado</t>
  </si>
  <si>
    <t>7.3.3</t>
  </si>
  <si>
    <t>Limpeza e manutenção do Plantão de Vendas e Decorado</t>
  </si>
  <si>
    <t>7.4</t>
  </si>
  <si>
    <t>Marketing</t>
  </si>
  <si>
    <t>7.4.1</t>
  </si>
  <si>
    <t>Agencia de Comunicação</t>
  </si>
  <si>
    <t>7.4.2</t>
  </si>
  <si>
    <t>Mídia Convencional</t>
  </si>
  <si>
    <t>7.4.3</t>
  </si>
  <si>
    <t>Mídia Digital</t>
  </si>
  <si>
    <t>7.5</t>
  </si>
  <si>
    <t>Entrega dos Apartamentos</t>
  </si>
  <si>
    <t>7.5.1</t>
  </si>
  <si>
    <t>Evento de Vistorias</t>
  </si>
  <si>
    <t>7.5.2</t>
  </si>
  <si>
    <t>Evento de entrega das chaves</t>
  </si>
  <si>
    <t>7.5.3</t>
  </si>
  <si>
    <t xml:space="preserve">Chaves e Acionadores de Portão </t>
  </si>
  <si>
    <t>7.5.4</t>
  </si>
  <si>
    <t xml:space="preserve">Manuais </t>
  </si>
  <si>
    <t>7.5.5</t>
  </si>
  <si>
    <t>Brindes</t>
  </si>
  <si>
    <t>7.6</t>
  </si>
  <si>
    <t>Custo dos Clientes</t>
  </si>
  <si>
    <t>7.6.1</t>
  </si>
  <si>
    <t>ITBI Clientes</t>
  </si>
  <si>
    <t>7.6.2</t>
  </si>
  <si>
    <t>Registro de Imóveis Clientes</t>
  </si>
  <si>
    <t>Terreno</t>
  </si>
  <si>
    <t>8.1</t>
  </si>
  <si>
    <t>Aquisição do Terreno</t>
  </si>
  <si>
    <t>8.1.2</t>
  </si>
  <si>
    <t>Aquisição do terreno</t>
  </si>
  <si>
    <t>8.1.3</t>
  </si>
  <si>
    <t>Remuneração do proprietário do terreno</t>
  </si>
  <si>
    <t>8.1.4</t>
  </si>
  <si>
    <t>Reembolso aos investidores do terreno</t>
  </si>
  <si>
    <t>8.1.5</t>
  </si>
  <si>
    <t>Comissão de venda terreno</t>
  </si>
  <si>
    <t>8.1.6</t>
  </si>
  <si>
    <t xml:space="preserve">Correção valor do terreno (INCC) </t>
  </si>
  <si>
    <t>8.1.7</t>
  </si>
  <si>
    <t xml:space="preserve">ITBI </t>
  </si>
  <si>
    <t>8.2</t>
  </si>
  <si>
    <t>Regularização do Terreno</t>
  </si>
  <si>
    <t>8.2.1</t>
  </si>
  <si>
    <t xml:space="preserve">Horas Técnicas de Advogado </t>
  </si>
  <si>
    <t>horas</t>
  </si>
  <si>
    <t>8.2.2</t>
  </si>
  <si>
    <t>Regularização (custo de desocupação) do terreno</t>
  </si>
  <si>
    <t>8.2.3</t>
  </si>
  <si>
    <t>Pagamento de IPTU atrasado</t>
  </si>
  <si>
    <t>8.3</t>
  </si>
  <si>
    <t>Despesas Iniciais do Terreno</t>
  </si>
  <si>
    <t>8.3.1</t>
  </si>
  <si>
    <t>Limpeza Inicial do Terreno</t>
  </si>
  <si>
    <t>8.3.2</t>
  </si>
  <si>
    <t>Demolição</t>
  </si>
  <si>
    <t>8.3.3</t>
  </si>
  <si>
    <t>Fechamento/Cercamento</t>
  </si>
  <si>
    <t>8.4</t>
  </si>
  <si>
    <t>Cmpra de Inície Construtivo</t>
  </si>
  <si>
    <t>8.4.1</t>
  </si>
  <si>
    <t>Compra de Índice Construtivo</t>
  </si>
  <si>
    <t>8.5</t>
  </si>
  <si>
    <t>Despesas Mensais do Terreno</t>
  </si>
  <si>
    <t>8.5.1</t>
  </si>
  <si>
    <t>Manutenção do terreno pré-obra (limpeza)</t>
  </si>
  <si>
    <t>8.5.2</t>
  </si>
  <si>
    <t>IPTU do Terreno (após a compra)</t>
  </si>
  <si>
    <t>8.5.3</t>
  </si>
  <si>
    <t>Conta de Água do Terreno</t>
  </si>
  <si>
    <t>8.5.4</t>
  </si>
  <si>
    <t xml:space="preserve">Conta de Luz do Terreno </t>
  </si>
  <si>
    <t>8.5.5</t>
  </si>
  <si>
    <t>Vigia do Terreno</t>
  </si>
  <si>
    <t>DESCRIÇÃO</t>
  </si>
  <si>
    <t>ITEM</t>
  </si>
  <si>
    <t>Soma de Total</t>
  </si>
  <si>
    <t>(Vários itens)</t>
  </si>
  <si>
    <t>grupo</t>
  </si>
  <si>
    <t>SALDO OPERACIONAL</t>
  </si>
  <si>
    <t>SALDO FINAL</t>
  </si>
  <si>
    <t>ENTRADA (+)</t>
  </si>
  <si>
    <t>SAÍDA (-)</t>
  </si>
  <si>
    <t>FIXO (INÍCIO)</t>
  </si>
  <si>
    <t>FIXO (TÉRMINO)</t>
  </si>
  <si>
    <t>VENDAS</t>
  </si>
  <si>
    <t>PREVISÃO</t>
  </si>
  <si>
    <t>Atual</t>
  </si>
  <si>
    <t>Edificação (Vico ou Orçafascio)</t>
  </si>
  <si>
    <t>EVENTO/PROCESSO LOB</t>
  </si>
  <si>
    <t>QUANTIDADES (BIM)</t>
  </si>
  <si>
    <t>tÉRMINO</t>
  </si>
  <si>
    <t>GRUPO</t>
  </si>
  <si>
    <t>definição</t>
  </si>
  <si>
    <t>CUSTO</t>
  </si>
  <si>
    <t>DESPESAS</t>
  </si>
  <si>
    <t>DESPESA</t>
  </si>
  <si>
    <t>Quantidade</t>
  </si>
  <si>
    <t>TEMPO - PRODUÇÃO</t>
  </si>
  <si>
    <t>TEMPO - PRAZO TOTAL</t>
  </si>
  <si>
    <t>Tempo - Prazo Total</t>
  </si>
  <si>
    <t>Tempo - Processo</t>
  </si>
  <si>
    <t>Data</t>
  </si>
  <si>
    <t>Pintura Externa - Início</t>
  </si>
  <si>
    <t>Pintura Externa - Término</t>
  </si>
  <si>
    <t>Gesso Liso - Início</t>
  </si>
  <si>
    <t>Estacas Helice Continua - Término</t>
  </si>
  <si>
    <t>INÍCIO</t>
  </si>
  <si>
    <t>TÉRMINO</t>
  </si>
  <si>
    <t>Reboco Externo - Término</t>
  </si>
  <si>
    <t>Alvenaria Estrutural - Início</t>
  </si>
  <si>
    <t>Alvenaria até Gesso Liso</t>
  </si>
  <si>
    <t>Alvenaria Estrutural até Reboco Externo</t>
  </si>
  <si>
    <t>%</t>
  </si>
  <si>
    <t>EDIFICAÇÃO</t>
  </si>
  <si>
    <t>DESPESAS INDIRETAS</t>
  </si>
  <si>
    <t>PROJETOS</t>
  </si>
  <si>
    <t>PRODUÇÃO</t>
  </si>
  <si>
    <t>COMERCIALIZAÇÃO</t>
  </si>
  <si>
    <t>QUANTIDADES</t>
  </si>
  <si>
    <t>TEMPO</t>
  </si>
  <si>
    <t>ADMINISTRAÇÃO CENTRAL</t>
  </si>
  <si>
    <t>PROJETOS E APROVAÇÕES</t>
  </si>
  <si>
    <t>SEDE</t>
  </si>
  <si>
    <t xml:space="preserve">COMERCIALIZAÇÃO </t>
  </si>
  <si>
    <t>verifical manual</t>
  </si>
  <si>
    <t>vendas</t>
  </si>
  <si>
    <t>(Tudo)</t>
  </si>
  <si>
    <t>desembolso curva s</t>
  </si>
  <si>
    <t>Mín. de Valor Unit</t>
  </si>
  <si>
    <t>Total - Custo Tempo - Processos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</si>
</sst>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[$R$-416]\ * #,##0.00_-;\-[$R$-416]\ * #,##0.00_-;_-[$R$-416]\ * &quot;-&quot;??_-;_-@_-"/>
    <numFmt numFmtId="165" formatCode="0.0%"/>
    <numFmt numFmtId="166" formatCode="dd/mm/yy;@"/>
    <numFmt numFmtId="167" formatCode="_-* #,##0_-;\-* #,##0_-;_-* &quot;-&quot;??_-;_-@_-"/>
    <numFmt numFmtId="168" formatCode="[$-416]mmm\-yy;@"/>
    <numFmt numFmtId="169" formatCode="_-[$R$-416]\ * #,##0_-;\-[$R$-416]\ * #,##0_-;_-[$R$-416]\ * &quot;-&quot;??_-;_-@_-"/>
    <numFmt numFmtId="170" formatCode="_-&quot;R$&quot;\ * #,##0_-;\-&quot;R$&quot;\ * #,##0_-;_-&quot;R$&quot;\ * &quot;-&quot;??_-;_-@_-"/>
    <numFmt numFmtId="171" formatCode="[$-416]mmmm\-yy;@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Aral"/>
    </font>
    <font>
      <b/>
      <sz val="10"/>
      <color theme="1"/>
      <name val="Aral"/>
    </font>
    <font>
      <b/>
      <sz val="12"/>
      <color theme="0"/>
      <name val="Aral"/>
    </font>
    <font>
      <b/>
      <sz val="10"/>
      <color theme="0"/>
      <name val="Aral"/>
    </font>
    <font>
      <b/>
      <sz val="10"/>
      <name val="Aral"/>
    </font>
    <font>
      <sz val="10"/>
      <color theme="0" tint="-0.499984740745262"/>
      <name val="Calibri"/>
      <family val="2"/>
      <scheme val="minor"/>
    </font>
    <font>
      <sz val="10"/>
      <name val="Arial"/>
      <family val="2"/>
    </font>
    <font>
      <sz val="11"/>
      <name val="Arial"/>
      <family val="1"/>
    </font>
    <font>
      <b/>
      <sz val="10"/>
      <name val="Arial"/>
      <family val="2"/>
    </font>
    <font>
      <b/>
      <sz val="10"/>
      <color rgb="FF000000"/>
      <name val="Arial"/>
      <family val="1"/>
    </font>
    <font>
      <sz val="10"/>
      <name val="Arial"/>
      <family val="1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FFFF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499984740745262"/>
      </left>
      <right style="thin">
        <color indexed="64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indexed="64"/>
      </left>
      <right style="dashed">
        <color theme="0" tint="-0.499984740745262"/>
      </right>
      <top style="dashed">
        <color theme="0" tint="-0.499984740745262"/>
      </top>
      <bottom style="thin">
        <color indexed="64"/>
      </bottom>
      <diagonal/>
    </border>
    <border>
      <left style="dashed">
        <color theme="0" tint="-0.499984740745262"/>
      </left>
      <right style="thin">
        <color indexed="64"/>
      </right>
      <top style="dashed">
        <color theme="0" tint="-0.499984740745262"/>
      </top>
      <bottom style="thin">
        <color indexed="64"/>
      </bottom>
      <diagonal/>
    </border>
    <border>
      <left style="thin">
        <color indexed="64"/>
      </left>
      <right style="dashed">
        <color theme="0" tint="-0.499984740745262"/>
      </right>
      <top/>
      <bottom style="dashed">
        <color theme="0" tint="-0.499984740745262"/>
      </bottom>
      <diagonal/>
    </border>
    <border>
      <left style="dashed">
        <color theme="0" tint="-0.499984740745262"/>
      </left>
      <right style="thin">
        <color indexed="64"/>
      </right>
      <top/>
      <bottom style="dashed">
        <color theme="0" tint="-0.499984740745262"/>
      </bottom>
      <diagonal/>
    </border>
    <border>
      <left style="dashed">
        <color theme="0" tint="-0.499984740745262"/>
      </left>
      <right/>
      <top style="dashed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dashed">
        <color theme="0" tint="-0.499984740745262"/>
      </top>
      <bottom style="dashed">
        <color theme="0" tint="-0.499984740745262"/>
      </bottom>
      <diagonal/>
    </border>
    <border>
      <left style="thin">
        <color indexed="64"/>
      </left>
      <right style="thin">
        <color indexed="64"/>
      </right>
      <top style="dashed">
        <color theme="0" tint="-0.499984740745262"/>
      </top>
      <bottom style="thin">
        <color indexed="64"/>
      </bottom>
      <diagonal/>
    </border>
    <border>
      <left style="thin">
        <color indexed="64"/>
      </left>
      <right style="dashed">
        <color theme="0" tint="-0.499984740745262"/>
      </right>
      <top style="thin">
        <color indexed="64"/>
      </top>
      <bottom/>
      <diagonal/>
    </border>
    <border>
      <left style="dashed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ashed">
        <color theme="0" tint="-0.499984740745262"/>
      </bottom>
      <diagonal/>
    </border>
    <border>
      <left style="thin">
        <color indexed="64"/>
      </left>
      <right style="dashed">
        <color theme="0" tint="-0.499984740745262"/>
      </right>
      <top style="thin">
        <color indexed="64"/>
      </top>
      <bottom style="thin">
        <color indexed="64"/>
      </bottom>
      <diagonal/>
    </border>
    <border>
      <left style="dashed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ashed">
        <color theme="0" tint="-0.499984740745262"/>
      </bottom>
      <diagonal/>
    </border>
    <border>
      <left/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/>
      <top style="dashed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medium">
        <color theme="0" tint="-4.9989318521683403E-2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</cellStyleXfs>
  <cellXfs count="24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1" fillId="2" borderId="0" xfId="0" applyFont="1" applyFill="1" applyAlignment="1">
      <alignment horizontal="center"/>
    </xf>
    <xf numFmtId="164" fontId="0" fillId="2" borderId="0" xfId="0" applyNumberForma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0" fontId="0" fillId="3" borderId="0" xfId="0" applyFill="1"/>
    <xf numFmtId="0" fontId="1" fillId="3" borderId="0" xfId="0" applyFont="1" applyFill="1" applyAlignment="1">
      <alignment horizontal="center"/>
    </xf>
    <xf numFmtId="14" fontId="0" fillId="3" borderId="0" xfId="0" applyNumberFormat="1" applyFill="1"/>
    <xf numFmtId="0" fontId="0" fillId="4" borderId="0" xfId="0" applyFill="1"/>
    <xf numFmtId="0" fontId="0" fillId="4" borderId="0" xfId="0" applyFill="1" applyAlignment="1">
      <alignment horizontal="center"/>
    </xf>
    <xf numFmtId="0" fontId="1" fillId="4" borderId="0" xfId="0" applyFont="1" applyFill="1" applyAlignment="1">
      <alignment horizontal="center"/>
    </xf>
    <xf numFmtId="14" fontId="0" fillId="4" borderId="0" xfId="0" applyNumberFormat="1" applyFill="1"/>
    <xf numFmtId="0" fontId="1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3" fillId="6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3" fillId="7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14" fontId="0" fillId="3" borderId="2" xfId="0" applyNumberFormat="1" applyFill="1" applyBorder="1"/>
    <xf numFmtId="0" fontId="0" fillId="3" borderId="2" xfId="0" applyFill="1" applyBorder="1"/>
    <xf numFmtId="14" fontId="0" fillId="4" borderId="2" xfId="0" applyNumberFormat="1" applyFill="1" applyBorder="1"/>
    <xf numFmtId="0" fontId="0" fillId="4" borderId="2" xfId="0" applyFill="1" applyBorder="1" applyAlignment="1">
      <alignment horizontal="center"/>
    </xf>
    <xf numFmtId="0" fontId="0" fillId="4" borderId="2" xfId="0" applyFill="1" applyBorder="1"/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0" borderId="0" xfId="0" applyAlignment="1"/>
    <xf numFmtId="164" fontId="0" fillId="0" borderId="0" xfId="0" applyNumberFormat="1"/>
    <xf numFmtId="9" fontId="0" fillId="0" borderId="0" xfId="2" applyFont="1"/>
    <xf numFmtId="9" fontId="1" fillId="0" borderId="0" xfId="2" applyFont="1" applyAlignment="1">
      <alignment horizontal="center"/>
    </xf>
    <xf numFmtId="0" fontId="0" fillId="0" borderId="4" xfId="0" applyBorder="1"/>
    <xf numFmtId="164" fontId="0" fillId="0" borderId="4" xfId="0" applyNumberFormat="1" applyBorder="1"/>
    <xf numFmtId="164" fontId="1" fillId="7" borderId="4" xfId="0" applyNumberFormat="1" applyFont="1" applyFill="1" applyBorder="1"/>
    <xf numFmtId="0" fontId="1" fillId="7" borderId="4" xfId="0" applyFont="1" applyFill="1" applyBorder="1"/>
    <xf numFmtId="165" fontId="0" fillId="0" borderId="4" xfId="2" applyNumberFormat="1" applyFont="1" applyBorder="1" applyAlignment="1">
      <alignment horizontal="center"/>
    </xf>
    <xf numFmtId="165" fontId="1" fillId="7" borderId="4" xfId="2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1" fillId="2" borderId="0" xfId="1" applyNumberFormat="1" applyFont="1" applyFill="1" applyAlignment="1">
      <alignment horizontal="center"/>
    </xf>
    <xf numFmtId="1" fontId="0" fillId="0" borderId="0" xfId="1" applyNumberFormat="1" applyFont="1" applyAlignment="1">
      <alignment horizontal="center"/>
    </xf>
    <xf numFmtId="14" fontId="0" fillId="0" borderId="0" xfId="0" applyNumberFormat="1"/>
    <xf numFmtId="166" fontId="1" fillId="2" borderId="0" xfId="0" applyNumberFormat="1" applyFont="1" applyFill="1" applyAlignment="1">
      <alignment horizontal="center"/>
    </xf>
    <xf numFmtId="166" fontId="0" fillId="2" borderId="0" xfId="0" applyNumberFormat="1" applyFill="1" applyAlignment="1">
      <alignment horizontal="center"/>
    </xf>
    <xf numFmtId="166" fontId="0" fillId="2" borderId="2" xfId="0" applyNumberFormat="1" applyFill="1" applyBorder="1" applyAlignment="1">
      <alignment horizontal="center"/>
    </xf>
    <xf numFmtId="1" fontId="1" fillId="8" borderId="0" xfId="1" applyNumberFormat="1" applyFont="1" applyFill="1" applyAlignment="1">
      <alignment horizontal="center"/>
    </xf>
    <xf numFmtId="1" fontId="0" fillId="8" borderId="2" xfId="1" applyNumberFormat="1" applyFont="1" applyFill="1" applyBorder="1" applyAlignment="1">
      <alignment horizontal="center"/>
    </xf>
    <xf numFmtId="1" fontId="0" fillId="8" borderId="0" xfId="1" applyNumberFormat="1" applyFont="1" applyFill="1" applyAlignment="1">
      <alignment horizontal="center" vertical="center"/>
    </xf>
    <xf numFmtId="1" fontId="0" fillId="8" borderId="2" xfId="1" applyNumberFormat="1" applyFont="1" applyFill="1" applyBorder="1" applyAlignment="1">
      <alignment horizontal="center" vertical="center"/>
    </xf>
    <xf numFmtId="164" fontId="1" fillId="8" borderId="0" xfId="0" applyNumberFormat="1" applyFont="1" applyFill="1" applyAlignment="1">
      <alignment horizontal="center"/>
    </xf>
    <xf numFmtId="164" fontId="0" fillId="8" borderId="2" xfId="0" applyNumberFormat="1" applyFill="1" applyBorder="1" applyAlignment="1">
      <alignment horizontal="center"/>
    </xf>
    <xf numFmtId="164" fontId="0" fillId="8" borderId="0" xfId="0" applyNumberFormat="1" applyFill="1" applyAlignment="1">
      <alignment horizontal="center"/>
    </xf>
    <xf numFmtId="0" fontId="0" fillId="0" borderId="0" xfId="0" pivotButton="1"/>
    <xf numFmtId="1" fontId="0" fillId="0" borderId="0" xfId="0" applyNumberFormat="1" applyAlignment="1">
      <alignment horizontal="left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/>
    </xf>
    <xf numFmtId="0" fontId="1" fillId="4" borderId="17" xfId="0" applyFont="1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167" fontId="0" fillId="0" borderId="9" xfId="1" applyNumberFormat="1" applyFont="1" applyBorder="1" applyAlignment="1">
      <alignment horizontal="center"/>
    </xf>
    <xf numFmtId="167" fontId="0" fillId="0" borderId="5" xfId="1" applyNumberFormat="1" applyFont="1" applyBorder="1" applyAlignment="1">
      <alignment horizontal="center"/>
    </xf>
    <xf numFmtId="167" fontId="0" fillId="0" borderId="7" xfId="1" applyNumberFormat="1" applyFont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9" fontId="0" fillId="0" borderId="10" xfId="2" applyFont="1" applyBorder="1" applyAlignment="1">
      <alignment horizontal="center"/>
    </xf>
    <xf numFmtId="9" fontId="0" fillId="0" borderId="6" xfId="2" applyFont="1" applyBorder="1" applyAlignment="1">
      <alignment horizontal="center"/>
    </xf>
    <xf numFmtId="0" fontId="1" fillId="0" borderId="0" xfId="0" applyFont="1"/>
    <xf numFmtId="167" fontId="1" fillId="0" borderId="0" xfId="0" applyNumberFormat="1" applyFont="1" applyAlignment="1">
      <alignment horizontal="center"/>
    </xf>
    <xf numFmtId="0" fontId="1" fillId="0" borderId="0" xfId="0" applyFont="1" applyAlignment="1"/>
    <xf numFmtId="0" fontId="4" fillId="0" borderId="0" xfId="0" applyFont="1"/>
    <xf numFmtId="164" fontId="0" fillId="3" borderId="0" xfId="0" applyNumberFormat="1" applyFill="1"/>
    <xf numFmtId="0" fontId="1" fillId="3" borderId="1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1" fillId="4" borderId="19" xfId="0" applyFont="1" applyFill="1" applyBorder="1" applyAlignment="1">
      <alignment horizontal="center"/>
    </xf>
    <xf numFmtId="0" fontId="0" fillId="0" borderId="20" xfId="0" applyBorder="1"/>
    <xf numFmtId="0" fontId="0" fillId="0" borderId="21" xfId="0" applyBorder="1"/>
    <xf numFmtId="0" fontId="0" fillId="0" borderId="22" xfId="0" applyBorder="1"/>
    <xf numFmtId="17" fontId="0" fillId="0" borderId="0" xfId="0" applyNumberFormat="1"/>
    <xf numFmtId="168" fontId="0" fillId="0" borderId="0" xfId="0" applyNumberFormat="1" applyAlignment="1">
      <alignment horizontal="center"/>
    </xf>
    <xf numFmtId="0" fontId="6" fillId="0" borderId="0" xfId="0" applyFont="1"/>
    <xf numFmtId="168" fontId="6" fillId="0" borderId="0" xfId="0" applyNumberFormat="1" applyFont="1" applyAlignment="1">
      <alignment horizontal="center"/>
    </xf>
    <xf numFmtId="17" fontId="7" fillId="0" borderId="4" xfId="0" applyNumberFormat="1" applyFont="1" applyBorder="1" applyAlignment="1">
      <alignment horizontal="center"/>
    </xf>
    <xf numFmtId="168" fontId="9" fillId="9" borderId="26" xfId="0" applyNumberFormat="1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/>
    </xf>
    <xf numFmtId="17" fontId="7" fillId="0" borderId="0" xfId="0" applyNumberFormat="1" applyFont="1" applyBorder="1" applyAlignment="1">
      <alignment horizontal="center"/>
    </xf>
    <xf numFmtId="164" fontId="9" fillId="6" borderId="26" xfId="0" applyNumberFormat="1" applyFont="1" applyFill="1" applyBorder="1" applyAlignment="1">
      <alignment horizontal="center" vertical="center"/>
    </xf>
    <xf numFmtId="3" fontId="9" fillId="6" borderId="26" xfId="0" applyNumberFormat="1" applyFont="1" applyFill="1" applyBorder="1" applyAlignment="1">
      <alignment horizontal="center" vertical="center"/>
    </xf>
    <xf numFmtId="3" fontId="6" fillId="0" borderId="0" xfId="0" applyNumberFormat="1" applyFont="1"/>
    <xf numFmtId="3" fontId="9" fillId="9" borderId="26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9" fillId="6" borderId="26" xfId="0" applyFont="1" applyFill="1" applyBorder="1" applyAlignment="1">
      <alignment horizontal="left" vertical="center"/>
    </xf>
    <xf numFmtId="0" fontId="9" fillId="9" borderId="26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6" fillId="0" borderId="0" xfId="0" applyFont="1" applyAlignment="1">
      <alignment horizontal="center"/>
    </xf>
    <xf numFmtId="0" fontId="10" fillId="7" borderId="26" xfId="0" applyFont="1" applyFill="1" applyBorder="1" applyAlignment="1">
      <alignment horizontal="left" vertical="center"/>
    </xf>
    <xf numFmtId="0" fontId="10" fillId="7" borderId="26" xfId="0" applyFont="1" applyFill="1" applyBorder="1" applyAlignment="1">
      <alignment horizontal="center" vertical="center"/>
    </xf>
    <xf numFmtId="0" fontId="10" fillId="7" borderId="26" xfId="0" applyFont="1" applyFill="1" applyBorder="1" applyAlignment="1">
      <alignment horizontal="left" vertical="center" wrapText="1"/>
    </xf>
    <xf numFmtId="3" fontId="10" fillId="7" borderId="26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4" fontId="0" fillId="0" borderId="0" xfId="0" applyNumberFormat="1" applyAlignment="1">
      <alignment horizontal="right"/>
    </xf>
    <xf numFmtId="4" fontId="9" fillId="6" borderId="26" xfId="0" applyNumberFormat="1" applyFont="1" applyFill="1" applyBorder="1" applyAlignment="1">
      <alignment horizontal="right" vertical="center"/>
    </xf>
    <xf numFmtId="4" fontId="10" fillId="7" borderId="26" xfId="0" applyNumberFormat="1" applyFont="1" applyFill="1" applyBorder="1" applyAlignment="1">
      <alignment horizontal="right" vertical="center"/>
    </xf>
    <xf numFmtId="4" fontId="11" fillId="0" borderId="0" xfId="0" applyNumberFormat="1" applyFont="1" applyAlignment="1">
      <alignment horizontal="left" vertical="center"/>
    </xf>
    <xf numFmtId="4" fontId="11" fillId="0" borderId="0" xfId="0" applyNumberFormat="1" applyFont="1" applyAlignment="1">
      <alignment horizontal="right" vertical="center"/>
    </xf>
    <xf numFmtId="164" fontId="5" fillId="0" borderId="0" xfId="0" applyNumberFormat="1" applyFont="1" applyAlignment="1">
      <alignment horizontal="center"/>
    </xf>
    <xf numFmtId="164" fontId="10" fillId="7" borderId="26" xfId="0" applyNumberFormat="1" applyFont="1" applyFill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4" fontId="0" fillId="0" borderId="0" xfId="3" applyFont="1"/>
    <xf numFmtId="4" fontId="0" fillId="0" borderId="0" xfId="3" applyNumberFormat="1" applyFont="1" applyAlignment="1">
      <alignment horizontal="right"/>
    </xf>
    <xf numFmtId="4" fontId="9" fillId="6" borderId="26" xfId="3" applyNumberFormat="1" applyFont="1" applyFill="1" applyBorder="1" applyAlignment="1">
      <alignment horizontal="right" vertical="center"/>
    </xf>
    <xf numFmtId="4" fontId="10" fillId="7" borderId="26" xfId="3" applyNumberFormat="1" applyFont="1" applyFill="1" applyBorder="1" applyAlignment="1">
      <alignment horizontal="right" vertical="center"/>
    </xf>
    <xf numFmtId="4" fontId="11" fillId="0" borderId="0" xfId="3" applyNumberFormat="1" applyFont="1" applyAlignment="1">
      <alignment horizontal="right" vertical="center"/>
    </xf>
    <xf numFmtId="0" fontId="0" fillId="0" borderId="0" xfId="0" applyAlignment="1">
      <alignment horizontal="left" indent="1"/>
    </xf>
    <xf numFmtId="164" fontId="0" fillId="0" borderId="0" xfId="0" pivotButton="1" applyNumberFormat="1" applyAlignment="1">
      <alignment horizontal="center"/>
    </xf>
    <xf numFmtId="9" fontId="0" fillId="0" borderId="0" xfId="2" applyFont="1" applyAlignment="1">
      <alignment horizontal="center"/>
    </xf>
    <xf numFmtId="10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1" fillId="0" borderId="0" xfId="0" applyNumberFormat="1" applyFont="1"/>
    <xf numFmtId="0" fontId="0" fillId="0" borderId="0" xfId="0" applyAlignment="1">
      <alignment vertical="center"/>
    </xf>
    <xf numFmtId="168" fontId="0" fillId="0" borderId="0" xfId="0" applyNumberFormat="1" applyAlignment="1">
      <alignment horizontal="center" vertical="center"/>
    </xf>
    <xf numFmtId="3" fontId="0" fillId="0" borderId="0" xfId="0" applyNumberFormat="1" applyAlignment="1">
      <alignment vertical="center"/>
    </xf>
    <xf numFmtId="170" fontId="9" fillId="6" borderId="26" xfId="3" applyNumberFormat="1" applyFont="1" applyFill="1" applyBorder="1" applyAlignment="1">
      <alignment vertical="center"/>
    </xf>
    <xf numFmtId="170" fontId="10" fillId="10" borderId="26" xfId="3" applyNumberFormat="1" applyFont="1" applyFill="1" applyBorder="1" applyAlignment="1">
      <alignment horizontal="center" vertical="center"/>
    </xf>
    <xf numFmtId="170" fontId="0" fillId="0" borderId="0" xfId="3" applyNumberFormat="1" applyFont="1"/>
    <xf numFmtId="170" fontId="6" fillId="0" borderId="0" xfId="3" applyNumberFormat="1" applyFont="1"/>
    <xf numFmtId="0" fontId="12" fillId="0" borderId="0" xfId="4" applyFont="1" applyAlignment="1">
      <alignment horizontal="center"/>
    </xf>
    <xf numFmtId="0" fontId="14" fillId="13" borderId="27" xfId="4" applyFont="1" applyFill="1" applyBorder="1" applyAlignment="1">
      <alignment horizontal="center" vertical="center" wrapText="1"/>
    </xf>
    <xf numFmtId="43" fontId="14" fillId="13" borderId="27" xfId="5" applyFont="1" applyFill="1" applyBorder="1" applyAlignment="1">
      <alignment horizontal="center" vertical="center" wrapText="1"/>
    </xf>
    <xf numFmtId="164" fontId="14" fillId="13" borderId="27" xfId="4" applyNumberFormat="1" applyFont="1" applyFill="1" applyBorder="1" applyAlignment="1">
      <alignment horizontal="center" vertical="center" wrapText="1"/>
    </xf>
    <xf numFmtId="0" fontId="13" fillId="0" borderId="0" xfId="4"/>
    <xf numFmtId="0" fontId="15" fillId="14" borderId="27" xfId="4" applyFont="1" applyFill="1" applyBorder="1" applyAlignment="1">
      <alignment horizontal="center" vertical="center" wrapText="1"/>
    </xf>
    <xf numFmtId="164" fontId="15" fillId="14" borderId="27" xfId="5" applyNumberFormat="1" applyFont="1" applyFill="1" applyBorder="1" applyAlignment="1">
      <alignment horizontal="center" vertical="center" wrapText="1"/>
    </xf>
    <xf numFmtId="43" fontId="15" fillId="14" borderId="27" xfId="5" applyFont="1" applyFill="1" applyBorder="1" applyAlignment="1">
      <alignment horizontal="center" vertical="center" wrapText="1"/>
    </xf>
    <xf numFmtId="164" fontId="12" fillId="0" borderId="0" xfId="4" applyNumberFormat="1" applyFont="1" applyAlignment="1">
      <alignment horizontal="center"/>
    </xf>
    <xf numFmtId="164" fontId="15" fillId="14" borderId="27" xfId="4" applyNumberFormat="1" applyFont="1" applyFill="1" applyBorder="1" applyAlignment="1">
      <alignment horizontal="center" vertical="center" wrapText="1"/>
    </xf>
    <xf numFmtId="43" fontId="12" fillId="0" borderId="0" xfId="5" applyFont="1" applyAlignment="1">
      <alignment horizontal="center"/>
    </xf>
    <xf numFmtId="0" fontId="16" fillId="0" borderId="0" xfId="4" applyFont="1" applyAlignment="1">
      <alignment horizontal="center"/>
    </xf>
    <xf numFmtId="0" fontId="0" fillId="0" borderId="0" xfId="0" pivotButton="1" applyAlignment="1">
      <alignment horizontal="center"/>
    </xf>
    <xf numFmtId="164" fontId="0" fillId="0" borderId="0" xfId="0" applyNumberFormat="1" applyAlignment="1">
      <alignment vertical="center"/>
    </xf>
    <xf numFmtId="3" fontId="10" fillId="7" borderId="26" xfId="3" applyNumberFormat="1" applyFont="1" applyFill="1" applyBorder="1" applyAlignment="1">
      <alignment horizontal="center" vertical="center"/>
    </xf>
    <xf numFmtId="3" fontId="10" fillId="7" borderId="26" xfId="1" applyNumberFormat="1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3" fontId="6" fillId="0" borderId="0" xfId="3" applyNumberFormat="1" applyFont="1"/>
    <xf numFmtId="10" fontId="0" fillId="0" borderId="0" xfId="2" applyNumberFormat="1" applyFont="1" applyAlignment="1">
      <alignment horizontal="center"/>
    </xf>
    <xf numFmtId="165" fontId="0" fillId="0" borderId="20" xfId="2" applyNumberFormat="1" applyFont="1" applyBorder="1" applyAlignment="1">
      <alignment horizontal="center"/>
    </xf>
    <xf numFmtId="165" fontId="0" fillId="0" borderId="21" xfId="2" applyNumberFormat="1" applyFont="1" applyBorder="1" applyAlignment="1">
      <alignment horizontal="center"/>
    </xf>
    <xf numFmtId="165" fontId="0" fillId="0" borderId="22" xfId="2" applyNumberFormat="1" applyFont="1" applyBorder="1" applyAlignment="1">
      <alignment horizontal="center"/>
    </xf>
    <xf numFmtId="165" fontId="0" fillId="0" borderId="10" xfId="2" applyNumberFormat="1" applyFont="1" applyBorder="1" applyAlignment="1">
      <alignment horizontal="center"/>
    </xf>
    <xf numFmtId="165" fontId="0" fillId="0" borderId="6" xfId="2" applyNumberFormat="1" applyFont="1" applyBorder="1" applyAlignment="1">
      <alignment horizontal="center"/>
    </xf>
    <xf numFmtId="165" fontId="0" fillId="0" borderId="8" xfId="2" applyNumberFormat="1" applyFont="1" applyBorder="1" applyAlignment="1">
      <alignment horizontal="center"/>
    </xf>
    <xf numFmtId="9" fontId="1" fillId="3" borderId="0" xfId="2" applyFont="1" applyFill="1" applyAlignment="1">
      <alignment horizontal="center"/>
    </xf>
    <xf numFmtId="9" fontId="0" fillId="3" borderId="2" xfId="2" applyFont="1" applyFill="1" applyBorder="1" applyAlignment="1">
      <alignment horizontal="center"/>
    </xf>
    <xf numFmtId="9" fontId="0" fillId="3" borderId="0" xfId="2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164" fontId="0" fillId="3" borderId="2" xfId="0" applyNumberFormat="1" applyFill="1" applyBorder="1"/>
    <xf numFmtId="10" fontId="0" fillId="0" borderId="0" xfId="2" applyNumberFormat="1" applyFont="1"/>
    <xf numFmtId="10" fontId="0" fillId="0" borderId="6" xfId="2" applyNumberFormat="1" applyFont="1" applyBorder="1" applyAlignment="1">
      <alignment horizontal="center"/>
    </xf>
    <xf numFmtId="0" fontId="1" fillId="15" borderId="0" xfId="0" applyFont="1" applyFill="1" applyAlignment="1">
      <alignment horizontal="center"/>
    </xf>
    <xf numFmtId="9" fontId="1" fillId="15" borderId="0" xfId="2" applyFont="1" applyFill="1" applyAlignment="1">
      <alignment horizontal="center"/>
    </xf>
    <xf numFmtId="14" fontId="1" fillId="15" borderId="0" xfId="0" applyNumberFormat="1" applyFont="1" applyFill="1" applyAlignment="1">
      <alignment horizontal="center"/>
    </xf>
    <xf numFmtId="9" fontId="0" fillId="15" borderId="3" xfId="2" applyFont="1" applyFill="1" applyBorder="1" applyAlignment="1">
      <alignment horizontal="center"/>
    </xf>
    <xf numFmtId="0" fontId="0" fillId="15" borderId="3" xfId="0" applyFill="1" applyBorder="1" applyAlignment="1">
      <alignment horizontal="center"/>
    </xf>
    <xf numFmtId="9" fontId="0" fillId="15" borderId="0" xfId="2" applyFont="1" applyFill="1" applyAlignment="1">
      <alignment horizontal="center"/>
    </xf>
    <xf numFmtId="169" fontId="0" fillId="15" borderId="0" xfId="2" applyNumberFormat="1" applyFont="1" applyFill="1" applyAlignment="1">
      <alignment horizontal="center"/>
    </xf>
    <xf numFmtId="14" fontId="0" fillId="15" borderId="0" xfId="0" applyNumberFormat="1" applyFill="1" applyAlignment="1">
      <alignment horizontal="center"/>
    </xf>
    <xf numFmtId="0" fontId="12" fillId="0" borderId="0" xfId="4" applyFont="1" applyAlignment="1">
      <alignment horizontal="left"/>
    </xf>
    <xf numFmtId="0" fontId="15" fillId="14" borderId="27" xfId="4" applyFont="1" applyFill="1" applyBorder="1" applyAlignment="1">
      <alignment horizontal="left" vertical="center" wrapText="1"/>
    </xf>
    <xf numFmtId="0" fontId="16" fillId="0" borderId="0" xfId="4" applyFont="1" applyAlignment="1">
      <alignment horizontal="left"/>
    </xf>
    <xf numFmtId="43" fontId="12" fillId="0" borderId="0" xfId="1" applyFont="1" applyAlignment="1">
      <alignment horizontal="center"/>
    </xf>
    <xf numFmtId="0" fontId="17" fillId="0" borderId="0" xfId="0" applyFont="1"/>
    <xf numFmtId="0" fontId="4" fillId="0" borderId="0" xfId="0" applyFont="1" applyAlignment="1">
      <alignment horizontal="center"/>
    </xf>
    <xf numFmtId="168" fontId="18" fillId="9" borderId="26" xfId="0" applyNumberFormat="1" applyFont="1" applyFill="1" applyBorder="1" applyAlignment="1">
      <alignment horizontal="center" vertical="center"/>
    </xf>
    <xf numFmtId="164" fontId="19" fillId="12" borderId="0" xfId="0" applyNumberFormat="1" applyFont="1" applyFill="1"/>
    <xf numFmtId="164" fontId="19" fillId="0" borderId="0" xfId="0" applyNumberFormat="1" applyFon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165" fontId="0" fillId="0" borderId="0" xfId="2" applyNumberFormat="1" applyFont="1" applyAlignment="1">
      <alignment horizontal="center"/>
    </xf>
    <xf numFmtId="164" fontId="0" fillId="0" borderId="0" xfId="2" applyNumberFormat="1" applyFont="1" applyAlignment="1">
      <alignment horizontal="center"/>
    </xf>
    <xf numFmtId="0" fontId="20" fillId="0" borderId="0" xfId="0" applyFont="1" applyFill="1" applyAlignment="1">
      <alignment horizontal="left" vertical="center" wrapText="1" readingOrder="1"/>
    </xf>
    <xf numFmtId="9" fontId="20" fillId="0" borderId="0" xfId="0" applyNumberFormat="1" applyFont="1" applyFill="1" applyAlignment="1">
      <alignment horizontal="center" vertical="center" wrapText="1" readingOrder="1"/>
    </xf>
    <xf numFmtId="0" fontId="17" fillId="16" borderId="0" xfId="0" applyFont="1" applyFill="1" applyAlignment="1">
      <alignment horizontal="left"/>
    </xf>
    <xf numFmtId="0" fontId="0" fillId="0" borderId="0" xfId="0" applyNumberFormat="1"/>
    <xf numFmtId="44" fontId="14" fillId="13" borderId="27" xfId="3" applyFont="1" applyFill="1" applyBorder="1" applyAlignment="1">
      <alignment horizontal="center" vertical="center" wrapText="1"/>
    </xf>
    <xf numFmtId="44" fontId="15" fillId="14" borderId="27" xfId="3" applyFont="1" applyFill="1" applyBorder="1" applyAlignment="1">
      <alignment horizontal="center" vertical="center" wrapText="1"/>
    </xf>
    <xf numFmtId="44" fontId="12" fillId="0" borderId="0" xfId="3" applyFont="1" applyAlignment="1">
      <alignment horizontal="center"/>
    </xf>
    <xf numFmtId="171" fontId="14" fillId="13" borderId="27" xfId="4" applyNumberFormat="1" applyFont="1" applyFill="1" applyBorder="1" applyAlignment="1">
      <alignment horizontal="center" vertical="center" wrapText="1"/>
    </xf>
    <xf numFmtId="171" fontId="15" fillId="14" borderId="27" xfId="5" applyNumberFormat="1" applyFont="1" applyFill="1" applyBorder="1" applyAlignment="1">
      <alignment horizontal="center" vertical="center" wrapText="1"/>
    </xf>
    <xf numFmtId="171" fontId="12" fillId="0" borderId="0" xfId="4" applyNumberFormat="1" applyFont="1" applyAlignment="1">
      <alignment horizontal="center"/>
    </xf>
    <xf numFmtId="164" fontId="0" fillId="16" borderId="0" xfId="0" applyNumberFormat="1" applyFill="1" applyAlignment="1">
      <alignment horizontal="center"/>
    </xf>
    <xf numFmtId="44" fontId="0" fillId="0" borderId="0" xfId="0" applyNumberFormat="1"/>
    <xf numFmtId="167" fontId="19" fillId="11" borderId="0" xfId="1" applyNumberFormat="1" applyFont="1" applyFill="1"/>
    <xf numFmtId="167" fontId="17" fillId="0" borderId="0" xfId="0" applyNumberFormat="1" applyFont="1"/>
    <xf numFmtId="167" fontId="19" fillId="0" borderId="0" xfId="0" applyNumberFormat="1" applyFont="1"/>
    <xf numFmtId="167" fontId="19" fillId="11" borderId="0" xfId="0" applyNumberFormat="1" applyFont="1" applyFill="1"/>
    <xf numFmtId="167" fontId="19" fillId="12" borderId="0" xfId="0" applyNumberFormat="1" applyFont="1" applyFill="1"/>
    <xf numFmtId="9" fontId="12" fillId="0" borderId="0" xfId="2" applyFont="1" applyAlignment="1">
      <alignment horizontal="center"/>
    </xf>
    <xf numFmtId="0" fontId="1" fillId="15" borderId="0" xfId="0" applyFont="1" applyFill="1" applyAlignment="1">
      <alignment horizontal="center"/>
    </xf>
    <xf numFmtId="14" fontId="1" fillId="15" borderId="0" xfId="0" applyNumberFormat="1" applyFont="1" applyFill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25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  <xf numFmtId="0" fontId="1" fillId="4" borderId="14" xfId="0" applyFont="1" applyFill="1" applyBorder="1" applyAlignment="1">
      <alignment horizontal="center"/>
    </xf>
    <xf numFmtId="0" fontId="1" fillId="4" borderId="25" xfId="0" applyFont="1" applyFill="1" applyBorder="1" applyAlignment="1">
      <alignment horizontal="center"/>
    </xf>
    <xf numFmtId="0" fontId="1" fillId="4" borderId="15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0" fontId="7" fillId="0" borderId="0" xfId="0" applyFont="1" applyAlignment="1">
      <alignment horizontal="center" vertical="center" textRotation="90" wrapText="1"/>
    </xf>
    <xf numFmtId="0" fontId="7" fillId="0" borderId="0" xfId="0" applyFont="1" applyAlignment="1">
      <alignment horizontal="center" vertical="center" textRotation="90"/>
    </xf>
    <xf numFmtId="0" fontId="8" fillId="6" borderId="0" xfId="0" applyFont="1" applyFill="1" applyAlignment="1">
      <alignment horizontal="center" vertical="center" textRotation="90"/>
    </xf>
    <xf numFmtId="0" fontId="8" fillId="6" borderId="0" xfId="0" applyFont="1" applyFill="1" applyAlignment="1">
      <alignment horizontal="center" vertical="center" textRotation="90" wrapText="1"/>
    </xf>
    <xf numFmtId="0" fontId="1" fillId="0" borderId="0" xfId="0" applyFont="1" applyAlignment="1">
      <alignment horizontal="left"/>
    </xf>
  </cellXfs>
  <cellStyles count="6">
    <cellStyle name="Moeda" xfId="3" builtinId="4"/>
    <cellStyle name="Normal" xfId="0" builtinId="0"/>
    <cellStyle name="Normal 2" xfId="4" xr:uid="{20C642DE-C24A-4D06-9A8C-45F83E77728C}"/>
    <cellStyle name="Porcentagem" xfId="2" builtinId="5"/>
    <cellStyle name="Vírgula" xfId="1" builtinId="3"/>
    <cellStyle name="Vírgula 2" xfId="5" xr:uid="{B20CEDB6-E757-4FB3-A1CA-42B198897548}"/>
  </cellStyles>
  <dxfs count="36">
    <dxf>
      <fill>
        <patternFill patternType="solid">
          <bgColor theme="5" tint="0.79998168889431442"/>
        </patternFill>
      </fill>
    </dxf>
    <dxf>
      <numFmt numFmtId="164" formatCode="_-[$R$-416]\ * #,##0.00_-;\-[$R$-416]\ * #,##0.00_-;_-[$R$-416]\ * &quot;-&quot;??_-;_-@_-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4" formatCode="_-&quot;R$&quot;\ * #,##0.00_-;\-&quot;R$&quot;\ * #,##0.00_-;_-&quot;R$&quot;\ * &quot;-&quot;??_-;_-@_-"/>
    </dxf>
    <dxf>
      <numFmt numFmtId="164" formatCode="_-[$R$-416]\ * #,##0.00_-;\-[$R$-416]\ * #,##0.00_-;_-[$R$-416]\ * &quot;-&quot;??_-;_-@_-"/>
    </dxf>
    <dxf>
      <numFmt numFmtId="164" formatCode="_-[$R$-416]\ * #,##0.00_-;\-[$R$-416]\ * #,##0.00_-;_-[$R$-416]\ * &quot;-&quot;??_-;_-@_-"/>
    </dxf>
    <dxf>
      <numFmt numFmtId="164" formatCode="_-[$R$-416]\ * #,##0.00_-;\-[$R$-416]\ * #,##0.00_-;_-[$R$-416]\ * &quot;-&quot;??_-;_-@_-"/>
    </dxf>
    <dxf>
      <numFmt numFmtId="164" formatCode="_-[$R$-416]\ * #,##0.00_-;\-[$R$-416]\ * #,##0.00_-;_-[$R$-416]\ * &quot;-&quot;??_-;_-@_-"/>
    </dxf>
    <dxf>
      <numFmt numFmtId="164" formatCode="_-[$R$-416]\ * #,##0.00_-;\-[$R$-416]\ * #,##0.00_-;_-[$R$-416]\ * &quot;-&quot;??_-;_-@_-"/>
    </dxf>
    <dxf>
      <numFmt numFmtId="164" formatCode="_-[$R$-416]\ * #,##0.00_-;\-[$R$-416]\ * #,##0.00_-;_-[$R$-416]\ * &quot;-&quot;??_-;_-@_-"/>
    </dxf>
    <dxf>
      <numFmt numFmtId="14" formatCode="0.00%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_-[$R$-416]\ * #,##0.00_-;\-[$R$-416]\ * #,##0.00_-;_-[$R$-416]\ * &quot;-&quot;??_-;_-@_-"/>
    </dxf>
    <dxf>
      <numFmt numFmtId="164" formatCode="_-[$R$-416]\ * #,##0.00_-;\-[$R$-416]\ * #,##0.00_-;_-[$R$-416]\ * &quot;-&quot;??_-;_-@_-"/>
    </dxf>
    <dxf>
      <numFmt numFmtId="164" formatCode="_-[$R$-416]\ * #,##0.00_-;\-[$R$-416]\ * #,##0.00_-;_-[$R$-416]\ * &quot;-&quot;??_-;_-@_-"/>
    </dxf>
    <dxf>
      <numFmt numFmtId="164" formatCode="_-[$R$-416]\ * #,##0.00_-;\-[$R$-416]\ * #,##0.00_-;_-[$R$-416]\ * &quot;-&quot;??_-;_-@_-"/>
    </dxf>
    <dxf>
      <numFmt numFmtId="164" formatCode="_-[$R$-416]\ * #,##0.00_-;\-[$R$-416]\ * #,##0.00_-;_-[$R$-416]\ * &quot;-&quot;??_-;_-@_-"/>
    </dxf>
    <dxf>
      <numFmt numFmtId="164" formatCode="_-[$R$-416]\ * #,##0.00_-;\-[$R$-416]\ * #,##0.00_-;_-[$R$-416]\ * &quot;-&quot;??_-;_-@_-"/>
    </dxf>
    <dxf>
      <numFmt numFmtId="164" formatCode="_-[$R$-416]\ * #,##0.00_-;\-[$R$-416]\ * #,##0.00_-;_-[$R$-416]\ * &quot;-&quot;??_-;_-@_-"/>
    </dxf>
    <dxf>
      <numFmt numFmtId="164" formatCode="_-[$R$-416]\ * #,##0.00_-;\-[$R$-416]\ * #,##0.00_-;_-[$R$-416]\ * &quot;-&quot;??_-;_-@_-"/>
    </dxf>
    <dxf>
      <numFmt numFmtId="164" formatCode="_-[$R$-416]\ * #,##0.00_-;\-[$R$-416]\ * #,##0.00_-;_-[$R$-416]\ * &quot;-&quot;??_-;_-@_-"/>
    </dxf>
    <dxf>
      <numFmt numFmtId="164" formatCode="_-[$R$-416]\ * #,##0.00_-;\-[$R$-416]\ * #,##0.00_-;_-[$R$-416]\ * &quot;-&quot;??_-;_-@_-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7E6E6"/>
      <color rgb="FF0000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4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pt-BR" b="1">
                <a:latin typeface="Arial" panose="020B0604020202020204" pitchFamily="34" charset="0"/>
                <a:cs typeface="Arial" panose="020B0604020202020204" pitchFamily="34" charset="0"/>
              </a:rPr>
              <a:t>CLASSIFICAÇÃO</a:t>
            </a:r>
            <a:r>
              <a:rPr lang="pt-BR" b="1" baseline="0">
                <a:latin typeface="Arial" panose="020B0604020202020204" pitchFamily="34" charset="0"/>
                <a:cs typeface="Arial" panose="020B0604020202020204" pitchFamily="34" charset="0"/>
              </a:rPr>
              <a:t> DOS CUSTOS - GRUPO 1</a:t>
            </a:r>
            <a:endParaRPr lang="pt-BR" b="1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0605696791737645"/>
          <c:y val="5.19817957295522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7F-4CB4-9FE6-E90F822F6B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7F-4CB4-9FE6-E90F822F6B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7F-4CB4-9FE6-E90F822F6B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87F-4CB4-9FE6-E90F822F6BA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87F-4CB4-9FE6-E90F822F6B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'classificação dos custos - graf'!$A$21:$A$25</c:f>
              <c:strCache>
                <c:ptCount val="5"/>
                <c:pt idx="0">
                  <c:v>PRODUÇÃO</c:v>
                </c:pt>
                <c:pt idx="1">
                  <c:v>TERRENO</c:v>
                </c:pt>
                <c:pt idx="2">
                  <c:v>COMERCIALIZAÇÃO</c:v>
                </c:pt>
                <c:pt idx="3">
                  <c:v>DESPESAS INDIRETAS</c:v>
                </c:pt>
                <c:pt idx="4">
                  <c:v>PROJETOS</c:v>
                </c:pt>
              </c:strCache>
            </c:strRef>
          </c:cat>
          <c:val>
            <c:numRef>
              <c:f>'classificação dos custos - graf'!$C$21:$C$25</c:f>
              <c:numCache>
                <c:formatCode>0%</c:formatCode>
                <c:ptCount val="5"/>
                <c:pt idx="0">
                  <c:v>0.72007832806183503</c:v>
                </c:pt>
                <c:pt idx="1">
                  <c:v>3.7883566374091883E-2</c:v>
                </c:pt>
                <c:pt idx="2">
                  <c:v>0.20047983325169424</c:v>
                </c:pt>
                <c:pt idx="3">
                  <c:v>3.5345367427027728E-2</c:v>
                </c:pt>
                <c:pt idx="4">
                  <c:v>6.2129048853510685E-3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7F-4CB4-9FE6-E90F822F6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5732545081896983E-2"/>
          <c:y val="0.34593721335825733"/>
          <c:w val="0.28687511394223514"/>
          <c:h val="0.474986728269869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76370576158908E-2"/>
          <c:y val="3.2388650200877639E-2"/>
          <c:w val="0.9353761724638604"/>
          <c:h val="0.5366555859171779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'classificação dos custos - graf'!$A$32</c:f>
              <c:strCache>
                <c:ptCount val="1"/>
                <c:pt idx="0">
                  <c:v>QUANTIDADES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'classificação dos custos - graf'!$B$32</c:f>
              <c:numCache>
                <c:formatCode>0%</c:formatCode>
                <c:ptCount val="1"/>
                <c:pt idx="0">
                  <c:v>0.58499999999999996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8F-4D6B-AEB3-A894A5DAAFBF}"/>
            </c:ext>
          </c:extLst>
        </c:ser>
        <c:ser>
          <c:idx val="1"/>
          <c:order val="1"/>
          <c:tx>
            <c:strRef>
              <c:f>'classificação dos custos - graf'!$A$33</c:f>
              <c:strCache>
                <c:ptCount val="1"/>
                <c:pt idx="0">
                  <c:v>VENDAS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'classificação dos custos - graf'!$B$33</c:f>
              <c:numCache>
                <c:formatCode>0%</c:formatCode>
                <c:ptCount val="1"/>
                <c:pt idx="0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8F-4D6B-AEB3-A894A5DAAFBF}"/>
            </c:ext>
          </c:extLst>
        </c:ser>
        <c:ser>
          <c:idx val="2"/>
          <c:order val="2"/>
          <c:tx>
            <c:strRef>
              <c:f>'classificação dos custos - graf'!$A$34</c:f>
              <c:strCache>
                <c:ptCount val="1"/>
                <c:pt idx="0">
                  <c:v>TEMPO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'classificação dos custos - graf'!$B$34</c:f>
              <c:numCache>
                <c:formatCode>0%</c:formatCode>
                <c:ptCount val="1"/>
                <c:pt idx="0">
                  <c:v>0.161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8F-4D6B-AEB3-A894A5DAAFBF}"/>
            </c:ext>
          </c:extLst>
        </c:ser>
        <c:ser>
          <c:idx val="3"/>
          <c:order val="3"/>
          <c:tx>
            <c:strRef>
              <c:f>'classificação dos custos - graf'!$A$35</c:f>
              <c:strCache>
                <c:ptCount val="1"/>
                <c:pt idx="0">
                  <c:v>INÍCIO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'classificação dos custos - graf'!$B$35</c:f>
              <c:numCache>
                <c:formatCode>0%</c:formatCode>
                <c:ptCount val="1"/>
                <c:pt idx="0">
                  <c:v>5.8000000000000003E-2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8F-4D6B-AEB3-A894A5DAAFBF}"/>
            </c:ext>
          </c:extLst>
        </c:ser>
        <c:ser>
          <c:idx val="4"/>
          <c:order val="4"/>
          <c:tx>
            <c:strRef>
              <c:f>'classificação dos custos - graf'!$A$36</c:f>
              <c:strCache>
                <c:ptCount val="1"/>
                <c:pt idx="0">
                  <c:v>TÉRMINO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'classificação dos custos - graf'!$B$36</c:f>
              <c:numCache>
                <c:formatCode>0%</c:formatCode>
                <c:ptCount val="1"/>
                <c:pt idx="0">
                  <c:v>5.0000000000000001E-3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8F-4D6B-AEB3-A894A5DAAFB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965878415"/>
        <c:axId val="965874255"/>
      </c:barChart>
      <c:catAx>
        <c:axId val="96587841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65874255"/>
        <c:crosses val="autoZero"/>
        <c:auto val="1"/>
        <c:lblAlgn val="ctr"/>
        <c:lblOffset val="100"/>
        <c:noMultiLvlLbl val="0"/>
      </c:catAx>
      <c:valAx>
        <c:axId val="965874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9658784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j-ea"/>
                <a:cs typeface="Arial" panose="020B0604020202020204" pitchFamily="34" charset="0"/>
              </a:defRPr>
            </a:pPr>
            <a:r>
              <a:rPr lang="pt-BR" sz="1400" b="1">
                <a:latin typeface="Arial" panose="020B0604020202020204" pitchFamily="34" charset="0"/>
                <a:cs typeface="Arial" panose="020B0604020202020204" pitchFamily="34" charset="0"/>
              </a:rPr>
              <a:t>CURVA S - EMPREENDIMENTO NATBIM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j-ea"/>
              <a:cs typeface="Arial" panose="020B0604020202020204" pitchFamily="34" charset="0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2"/>
          <c:tx>
            <c:v>Data Status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59-4D58-9672-95869F23BDA9}"/>
              </c:ext>
            </c:extLst>
          </c:dPt>
          <c:val>
            <c:numRef>
              <c:f>'CURVA S'!$A$3:$A$44</c:f>
              <c:numCache>
                <c:formatCode>General</c:formatCode>
                <c:ptCount val="42"/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59-4D58-9672-95869F23B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2115672767"/>
        <c:axId val="2115673183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58086063"/>
        <c:axId val="58085647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v>Plan Sem</c:v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'CURVA S'!$E$3:$E$44</c15:sqref>
                        </c15:formulaRef>
                      </c:ext>
                    </c:extLst>
                    <c:numCache>
                      <c:formatCode>0.0%</c:formatCode>
                      <c:ptCount val="42"/>
                      <c:pt idx="0">
                        <c:v>1.7727203715251776E-3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2.2387037540229113E-2</c:v>
                      </c:pt>
                      <c:pt idx="4">
                        <c:v>4.5643525840144333E-2</c:v>
                      </c:pt>
                      <c:pt idx="5">
                        <c:v>2.2806547694681571E-4</c:v>
                      </c:pt>
                      <c:pt idx="6">
                        <c:v>2.274933584075034E-2</c:v>
                      </c:pt>
                      <c:pt idx="7">
                        <c:v>6.3018400974295702E-2</c:v>
                      </c:pt>
                      <c:pt idx="8">
                        <c:v>4.3300511453122428E-2</c:v>
                      </c:pt>
                      <c:pt idx="9">
                        <c:v>6.3196096561619688E-2</c:v>
                      </c:pt>
                      <c:pt idx="10">
                        <c:v>4.3300511453122428E-2</c:v>
                      </c:pt>
                      <c:pt idx="11">
                        <c:v>6.6956309822389107E-2</c:v>
                      </c:pt>
                      <c:pt idx="12">
                        <c:v>5.0188479826305324E-2</c:v>
                      </c:pt>
                      <c:pt idx="13">
                        <c:v>7.008406493480257E-2</c:v>
                      </c:pt>
                      <c:pt idx="14">
                        <c:v>4.8272794981516903E-2</c:v>
                      </c:pt>
                      <c:pt idx="15">
                        <c:v>2.215890690171746E-2</c:v>
                      </c:pt>
                      <c:pt idx="16">
                        <c:v>1.3455341847343393E-2</c:v>
                      </c:pt>
                      <c:pt idx="17">
                        <c:v>3.5714271751093242E-2</c:v>
                      </c:pt>
                      <c:pt idx="18">
                        <c:v>2.8852889296365862E-2</c:v>
                      </c:pt>
                      <c:pt idx="19">
                        <c:v>7.9372650518327661E-3</c:v>
                      </c:pt>
                      <c:pt idx="20">
                        <c:v>1.5580130153709611E-4</c:v>
                      </c:pt>
                      <c:pt idx="21">
                        <c:v>3.3823739270333816E-2</c:v>
                      </c:pt>
                      <c:pt idx="22">
                        <c:v>1.3340787816351249E-2</c:v>
                      </c:pt>
                      <c:pt idx="23">
                        <c:v>1.7743037975508368E-2</c:v>
                      </c:pt>
                      <c:pt idx="24">
                        <c:v>3.5026230787927118E-2</c:v>
                      </c:pt>
                      <c:pt idx="25">
                        <c:v>2.5051884896005395E-2</c:v>
                      </c:pt>
                      <c:pt idx="26">
                        <c:v>2.5055533943636542E-2</c:v>
                      </c:pt>
                      <c:pt idx="27">
                        <c:v>2.211153444407736E-2</c:v>
                      </c:pt>
                      <c:pt idx="28">
                        <c:v>8.954567402145246E-3</c:v>
                      </c:pt>
                      <c:pt idx="29">
                        <c:v>1.4578010448005302E-2</c:v>
                      </c:pt>
                      <c:pt idx="30">
                        <c:v>2.2094396952523927E-2</c:v>
                      </c:pt>
                      <c:pt idx="31">
                        <c:v>2.0483081777112257E-2</c:v>
                      </c:pt>
                      <c:pt idx="32">
                        <c:v>2.0775787526382282E-2</c:v>
                      </c:pt>
                      <c:pt idx="33">
                        <c:v>2.1011867875804658E-2</c:v>
                      </c:pt>
                      <c:pt idx="34">
                        <c:v>2.2136230677152462E-2</c:v>
                      </c:pt>
                      <c:pt idx="35">
                        <c:v>1.68688304215888E-2</c:v>
                      </c:pt>
                      <c:pt idx="36">
                        <c:v>9.455790158909504E-3</c:v>
                      </c:pt>
                      <c:pt idx="37">
                        <c:v>1.272852975309631E-2</c:v>
                      </c:pt>
                      <c:pt idx="38">
                        <c:v>3.2770402574663743E-3</c:v>
                      </c:pt>
                      <c:pt idx="39">
                        <c:v>2.4038752885842795E-3</c:v>
                      </c:pt>
                      <c:pt idx="40">
                        <c:v>2.403679803889754E-3</c:v>
                      </c:pt>
                      <c:pt idx="41">
                        <c:v>1.3032312968389468E-3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5A59-4D58-9672-95869F23BDA9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2"/>
          <c:order val="1"/>
          <c:tx>
            <c:v>Plan Acumulado</c:v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'CURVA S'!$F$3:$F$44</c:f>
              <c:numCache>
                <c:formatCode>0.0%</c:formatCode>
                <c:ptCount val="42"/>
                <c:pt idx="0">
                  <c:v>1.7727203715251776E-3</c:v>
                </c:pt>
                <c:pt idx="1">
                  <c:v>1.7727203715251776E-3</c:v>
                </c:pt>
                <c:pt idx="2">
                  <c:v>1.7727203715251776E-3</c:v>
                </c:pt>
                <c:pt idx="3" formatCode="0.00%">
                  <c:v>2.4159757911754291E-2</c:v>
                </c:pt>
                <c:pt idx="4">
                  <c:v>6.980328375189862E-2</c:v>
                </c:pt>
                <c:pt idx="5">
                  <c:v>7.0031349228845435E-2</c:v>
                </c:pt>
                <c:pt idx="6">
                  <c:v>9.2780685069595761E-2</c:v>
                </c:pt>
                <c:pt idx="7">
                  <c:v>0.15579908604389148</c:v>
                </c:pt>
                <c:pt idx="8">
                  <c:v>0.19909959749701389</c:v>
                </c:pt>
                <c:pt idx="9">
                  <c:v>0.26229569405863357</c:v>
                </c:pt>
                <c:pt idx="10">
                  <c:v>0.30559620551175604</c:v>
                </c:pt>
                <c:pt idx="11">
                  <c:v>0.37255251533414513</c:v>
                </c:pt>
                <c:pt idx="12">
                  <c:v>0.42274099516045044</c:v>
                </c:pt>
                <c:pt idx="13">
                  <c:v>0.49282506009525301</c:v>
                </c:pt>
                <c:pt idx="14">
                  <c:v>0.54109785507676988</c:v>
                </c:pt>
                <c:pt idx="15">
                  <c:v>0.5632567619784874</c:v>
                </c:pt>
                <c:pt idx="16">
                  <c:v>0.57671210382583071</c:v>
                </c:pt>
                <c:pt idx="17">
                  <c:v>0.61242637557692392</c:v>
                </c:pt>
                <c:pt idx="18">
                  <c:v>0.64127926487328979</c:v>
                </c:pt>
                <c:pt idx="19">
                  <c:v>0.64921652992512258</c:v>
                </c:pt>
                <c:pt idx="20">
                  <c:v>0.64937233122665972</c:v>
                </c:pt>
                <c:pt idx="21">
                  <c:v>0.68319607049699349</c:v>
                </c:pt>
                <c:pt idx="22">
                  <c:v>0.69653685831334478</c:v>
                </c:pt>
                <c:pt idx="23">
                  <c:v>0.71427989628885313</c:v>
                </c:pt>
                <c:pt idx="24">
                  <c:v>0.74930612707678024</c:v>
                </c:pt>
                <c:pt idx="25">
                  <c:v>0.77435801197278564</c:v>
                </c:pt>
                <c:pt idx="26">
                  <c:v>0.79941354591642211</c:v>
                </c:pt>
                <c:pt idx="27">
                  <c:v>0.82152508036049943</c:v>
                </c:pt>
                <c:pt idx="28">
                  <c:v>0.83047964776264471</c:v>
                </c:pt>
                <c:pt idx="29">
                  <c:v>0.84505765821065015</c:v>
                </c:pt>
                <c:pt idx="30">
                  <c:v>0.86715205516317406</c:v>
                </c:pt>
                <c:pt idx="31">
                  <c:v>0.8876351369402864</c:v>
                </c:pt>
                <c:pt idx="32">
                  <c:v>0.90841092446666871</c:v>
                </c:pt>
                <c:pt idx="33">
                  <c:v>0.92942279234247338</c:v>
                </c:pt>
                <c:pt idx="34">
                  <c:v>0.9515590230196258</c:v>
                </c:pt>
                <c:pt idx="35">
                  <c:v>0.96842785344121463</c:v>
                </c:pt>
                <c:pt idx="36">
                  <c:v>0.97788364360012414</c:v>
                </c:pt>
                <c:pt idx="37">
                  <c:v>0.99061217335322049</c:v>
                </c:pt>
                <c:pt idx="38">
                  <c:v>0.99388921361068694</c:v>
                </c:pt>
                <c:pt idx="39">
                  <c:v>0.99629308889927126</c:v>
                </c:pt>
                <c:pt idx="40">
                  <c:v>0.99869676870316104</c:v>
                </c:pt>
                <c:pt idx="4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59-4D58-9672-95869F23BDA9}"/>
            </c:ext>
          </c:extLst>
        </c:ser>
        <c:ser>
          <c:idx val="3"/>
          <c:order val="3"/>
          <c:tx>
            <c:v>Exe Acumulado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'CURVA S'!$J$3:$J$44</c:f>
              <c:numCache>
                <c:formatCode>0%</c:formatCode>
                <c:ptCount val="4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59-4D58-9672-95869F23B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5672767"/>
        <c:axId val="2115673183"/>
      </c:lineChart>
      <c:catAx>
        <c:axId val="21156727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pt-BR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semanas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pt-BR"/>
            </a:p>
          </c:txPr>
        </c:title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2115673183"/>
        <c:crosses val="autoZero"/>
        <c:auto val="1"/>
        <c:lblAlgn val="ctr"/>
        <c:lblOffset val="100"/>
        <c:noMultiLvlLbl val="0"/>
      </c:catAx>
      <c:valAx>
        <c:axId val="211567318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pt-BR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% acumulado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5672767"/>
        <c:crosses val="autoZero"/>
        <c:crossBetween val="between"/>
      </c:valAx>
      <c:valAx>
        <c:axId val="5808564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pt-BR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% semana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pt-BR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086063"/>
        <c:crosses val="max"/>
        <c:crossBetween val="between"/>
      </c:valAx>
      <c:catAx>
        <c:axId val="58086063"/>
        <c:scaling>
          <c:orientation val="minMax"/>
        </c:scaling>
        <c:delete val="1"/>
        <c:axPos val="b"/>
        <c:majorTickMark val="out"/>
        <c:minorTickMark val="none"/>
        <c:tickLblPos val="nextTo"/>
        <c:crossAx val="580856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93206511048673E-2"/>
          <c:y val="6.5225481025337775E-2"/>
          <c:w val="0.79292952123679572"/>
          <c:h val="0.770821779470561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'FLUXO DE CAIXA'!$C$10</c:f>
              <c:strCache>
                <c:ptCount val="1"/>
                <c:pt idx="0">
                  <c:v>SALDO OPERACIONAL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4B-475E-9494-97CEC1EDFDB0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4B-475E-9494-97CEC1EDFDB0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84B-475E-9494-97CEC1EDFDB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2A0-4CC2-8A2B-40798CDA34AD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A0-4CC2-8A2B-40798CDA34AD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84B-475E-9494-97CEC1EDFDB0}"/>
              </c:ext>
            </c:extLst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4B-475E-9494-97CEC1EDFDB0}"/>
              </c:ext>
            </c:extLst>
          </c:dPt>
          <c:cat>
            <c:numRef>
              <c:f>'FLUXO DE CAIXA'!$D$6:$U$6</c:f>
              <c:numCache>
                <c:formatCode>[$-416]mmm\-yy;@</c:formatCode>
                <c:ptCount val="18"/>
                <c:pt idx="0">
                  <c:v>44378</c:v>
                </c:pt>
                <c:pt idx="1">
                  <c:v>44409</c:v>
                </c:pt>
                <c:pt idx="2">
                  <c:v>44440</c:v>
                </c:pt>
                <c:pt idx="3">
                  <c:v>44470</c:v>
                </c:pt>
                <c:pt idx="4">
                  <c:v>44501</c:v>
                </c:pt>
                <c:pt idx="5">
                  <c:v>44531</c:v>
                </c:pt>
                <c:pt idx="6">
                  <c:v>44562</c:v>
                </c:pt>
                <c:pt idx="7">
                  <c:v>44593</c:v>
                </c:pt>
                <c:pt idx="8">
                  <c:v>44621</c:v>
                </c:pt>
                <c:pt idx="9">
                  <c:v>44652</c:v>
                </c:pt>
                <c:pt idx="10">
                  <c:v>44682</c:v>
                </c:pt>
                <c:pt idx="11">
                  <c:v>44713</c:v>
                </c:pt>
                <c:pt idx="12">
                  <c:v>44743</c:v>
                </c:pt>
                <c:pt idx="13">
                  <c:v>44774</c:v>
                </c:pt>
                <c:pt idx="14">
                  <c:v>44805</c:v>
                </c:pt>
                <c:pt idx="15">
                  <c:v>44835</c:v>
                </c:pt>
                <c:pt idx="16">
                  <c:v>44866</c:v>
                </c:pt>
                <c:pt idx="17">
                  <c:v>44896</c:v>
                </c:pt>
              </c:numCache>
            </c:numRef>
          </c:cat>
          <c:val>
            <c:numRef>
              <c:f>'FLUXO DE CAIXA'!$D$10:$U$10</c:f>
              <c:numCache>
                <c:formatCode>#,##0</c:formatCode>
                <c:ptCount val="18"/>
                <c:pt idx="0">
                  <c:v>-125800</c:v>
                </c:pt>
                <c:pt idx="1">
                  <c:v>24292.984638889728</c:v>
                </c:pt>
                <c:pt idx="2">
                  <c:v>-151398.53103390604</c:v>
                </c:pt>
                <c:pt idx="3">
                  <c:v>-29908.360320280655</c:v>
                </c:pt>
                <c:pt idx="4">
                  <c:v>261053.61370392249</c:v>
                </c:pt>
                <c:pt idx="5">
                  <c:v>337604.62269473972</c:v>
                </c:pt>
                <c:pt idx="6">
                  <c:v>156272.52558433614</c:v>
                </c:pt>
                <c:pt idx="7">
                  <c:v>10780.065870931663</c:v>
                </c:pt>
                <c:pt idx="8">
                  <c:v>-19517.570404280676</c:v>
                </c:pt>
                <c:pt idx="9">
                  <c:v>57625.7348133208</c:v>
                </c:pt>
                <c:pt idx="10">
                  <c:v>112475.81445232665</c:v>
                </c:pt>
                <c:pt idx="11">
                  <c:v>-48347.9</c:v>
                </c:pt>
                <c:pt idx="12">
                  <c:v>-8400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3-4D80-B790-5E3EA5E79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1934160"/>
        <c:axId val="771941232"/>
      </c:barChart>
      <c:lineChart>
        <c:grouping val="stacked"/>
        <c:varyColors val="0"/>
        <c:ser>
          <c:idx val="1"/>
          <c:order val="1"/>
          <c:tx>
            <c:v>SALDO FINAL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'FLUXO DE CAIXA'!$D$11:$U$11</c:f>
              <c:numCache>
                <c:formatCode>#,##0</c:formatCode>
                <c:ptCount val="18"/>
                <c:pt idx="0">
                  <c:v>-125800</c:v>
                </c:pt>
                <c:pt idx="1">
                  <c:v>-101507.01536111027</c:v>
                </c:pt>
                <c:pt idx="2">
                  <c:v>-252905.54639501631</c:v>
                </c:pt>
                <c:pt idx="3">
                  <c:v>-282813.90671529697</c:v>
                </c:pt>
                <c:pt idx="4">
                  <c:v>-21760.293011374481</c:v>
                </c:pt>
                <c:pt idx="5">
                  <c:v>315844.32968336524</c:v>
                </c:pt>
                <c:pt idx="6">
                  <c:v>472116.85526770138</c:v>
                </c:pt>
                <c:pt idx="7">
                  <c:v>482896.92113863304</c:v>
                </c:pt>
                <c:pt idx="8">
                  <c:v>463379.35073435237</c:v>
                </c:pt>
                <c:pt idx="9">
                  <c:v>521005.08554767317</c:v>
                </c:pt>
                <c:pt idx="10">
                  <c:v>633480.89999999979</c:v>
                </c:pt>
                <c:pt idx="11">
                  <c:v>585132.99999999977</c:v>
                </c:pt>
                <c:pt idx="12">
                  <c:v>576732.99999999977</c:v>
                </c:pt>
                <c:pt idx="13">
                  <c:v>576732.99999999977</c:v>
                </c:pt>
                <c:pt idx="14">
                  <c:v>576732.99999999977</c:v>
                </c:pt>
                <c:pt idx="15">
                  <c:v>576732.99999999977</c:v>
                </c:pt>
                <c:pt idx="16">
                  <c:v>576732.99999999977</c:v>
                </c:pt>
                <c:pt idx="17">
                  <c:v>576732.99999999977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4B-475E-9494-97CEC1EDF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1934160"/>
        <c:axId val="771941232"/>
      </c:lineChart>
      <c:dateAx>
        <c:axId val="771934160"/>
        <c:scaling>
          <c:orientation val="minMax"/>
        </c:scaling>
        <c:delete val="0"/>
        <c:axPos val="b"/>
        <c:numFmt formatCode="[$-416]mmm\-yy;@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71941232"/>
        <c:crosses val="autoZero"/>
        <c:auto val="1"/>
        <c:lblOffset val="100"/>
        <c:baseTimeUnit val="months"/>
      </c:dateAx>
      <c:valAx>
        <c:axId val="77194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7193416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694991335937255"/>
          <c:y val="0.38418866292970821"/>
          <c:w val="9.4408577936286792E-2"/>
          <c:h val="0.163712697255948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ENTRADA X SAÍDA</a:t>
            </a:r>
          </a:p>
        </c:rich>
      </c:tx>
      <c:layout>
        <c:manualLayout>
          <c:xMode val="edge"/>
          <c:yMode val="edge"/>
          <c:x val="2.2397687299837283E-2"/>
          <c:y val="4.93011943893688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7.0188510568448367E-2"/>
          <c:y val="0.2082476597094591"/>
          <c:w val="0.87098299253744504"/>
          <c:h val="0.61454169401189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'FLUXO DE CAIXA'!$C$7</c:f>
              <c:strCache>
                <c:ptCount val="1"/>
                <c:pt idx="0">
                  <c:v>ENTRADA (+)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'FLUXO DE CAIXA'!$D$6:$U$6</c:f>
              <c:numCache>
                <c:formatCode>[$-416]mmm\-yy;@</c:formatCode>
                <c:ptCount val="18"/>
                <c:pt idx="0">
                  <c:v>44378</c:v>
                </c:pt>
                <c:pt idx="1">
                  <c:v>44409</c:v>
                </c:pt>
                <c:pt idx="2">
                  <c:v>44440</c:v>
                </c:pt>
                <c:pt idx="3">
                  <c:v>44470</c:v>
                </c:pt>
                <c:pt idx="4">
                  <c:v>44501</c:v>
                </c:pt>
                <c:pt idx="5">
                  <c:v>44531</c:v>
                </c:pt>
                <c:pt idx="6">
                  <c:v>44562</c:v>
                </c:pt>
                <c:pt idx="7">
                  <c:v>44593</c:v>
                </c:pt>
                <c:pt idx="8">
                  <c:v>44621</c:v>
                </c:pt>
                <c:pt idx="9">
                  <c:v>44652</c:v>
                </c:pt>
                <c:pt idx="10">
                  <c:v>44682</c:v>
                </c:pt>
                <c:pt idx="11">
                  <c:v>44713</c:v>
                </c:pt>
                <c:pt idx="12">
                  <c:v>44743</c:v>
                </c:pt>
                <c:pt idx="13">
                  <c:v>44774</c:v>
                </c:pt>
                <c:pt idx="14">
                  <c:v>44805</c:v>
                </c:pt>
                <c:pt idx="15">
                  <c:v>44835</c:v>
                </c:pt>
                <c:pt idx="16">
                  <c:v>44866</c:v>
                </c:pt>
                <c:pt idx="17">
                  <c:v>44896</c:v>
                </c:pt>
              </c:numCache>
            </c:numRef>
          </c:cat>
          <c:val>
            <c:numRef>
              <c:f>'FLUXO DE CAIXA'!$D$7:$U$7</c:f>
              <c:numCache>
                <c:formatCode>#,##0</c:formatCode>
                <c:ptCount val="18"/>
                <c:pt idx="0">
                  <c:v>0</c:v>
                </c:pt>
                <c:pt idx="1">
                  <c:v>200000</c:v>
                </c:pt>
                <c:pt idx="2">
                  <c:v>200000</c:v>
                </c:pt>
                <c:pt idx="3">
                  <c:v>400000</c:v>
                </c:pt>
                <c:pt idx="4">
                  <c:v>600000</c:v>
                </c:pt>
                <c:pt idx="5">
                  <c:v>600000</c:v>
                </c:pt>
                <c:pt idx="6">
                  <c:v>400000</c:v>
                </c:pt>
                <c:pt idx="7">
                  <c:v>200000</c:v>
                </c:pt>
                <c:pt idx="8">
                  <c:v>200000</c:v>
                </c:pt>
                <c:pt idx="9">
                  <c:v>200000</c:v>
                </c:pt>
                <c:pt idx="10">
                  <c:v>200000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3-41DE-8852-D6A4C0B912C5}"/>
            </c:ext>
          </c:extLst>
        </c:ser>
        <c:ser>
          <c:idx val="1"/>
          <c:order val="1"/>
          <c:tx>
            <c:strRef>
              <c:f>'FLUXO DE CAIXA'!$C$8</c:f>
              <c:strCache>
                <c:ptCount val="1"/>
                <c:pt idx="0">
                  <c:v>SAÍDA (-)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'FLUXO DE CAIXA'!$D$6:$U$6</c:f>
              <c:numCache>
                <c:formatCode>[$-416]mmm\-yy;@</c:formatCode>
                <c:ptCount val="18"/>
                <c:pt idx="0">
                  <c:v>44378</c:v>
                </c:pt>
                <c:pt idx="1">
                  <c:v>44409</c:v>
                </c:pt>
                <c:pt idx="2">
                  <c:v>44440</c:v>
                </c:pt>
                <c:pt idx="3">
                  <c:v>44470</c:v>
                </c:pt>
                <c:pt idx="4">
                  <c:v>44501</c:v>
                </c:pt>
                <c:pt idx="5">
                  <c:v>44531</c:v>
                </c:pt>
                <c:pt idx="6">
                  <c:v>44562</c:v>
                </c:pt>
                <c:pt idx="7">
                  <c:v>44593</c:v>
                </c:pt>
                <c:pt idx="8">
                  <c:v>44621</c:v>
                </c:pt>
                <c:pt idx="9">
                  <c:v>44652</c:v>
                </c:pt>
                <c:pt idx="10">
                  <c:v>44682</c:v>
                </c:pt>
                <c:pt idx="11">
                  <c:v>44713</c:v>
                </c:pt>
                <c:pt idx="12">
                  <c:v>44743</c:v>
                </c:pt>
                <c:pt idx="13">
                  <c:v>44774</c:v>
                </c:pt>
                <c:pt idx="14">
                  <c:v>44805</c:v>
                </c:pt>
                <c:pt idx="15">
                  <c:v>44835</c:v>
                </c:pt>
                <c:pt idx="16">
                  <c:v>44866</c:v>
                </c:pt>
                <c:pt idx="17">
                  <c:v>44896</c:v>
                </c:pt>
              </c:numCache>
            </c:numRef>
          </c:cat>
          <c:val>
            <c:numRef>
              <c:f>'FLUXO DE CAIXA'!$D$8:$U$8</c:f>
              <c:numCache>
                <c:formatCode>#,##0</c:formatCode>
                <c:ptCount val="18"/>
                <c:pt idx="0">
                  <c:v>125800</c:v>
                </c:pt>
                <c:pt idx="1">
                  <c:v>175707.01536111027</c:v>
                </c:pt>
                <c:pt idx="2">
                  <c:v>351398.53103390604</c:v>
                </c:pt>
                <c:pt idx="3">
                  <c:v>429908.36032028066</c:v>
                </c:pt>
                <c:pt idx="4">
                  <c:v>338946.38629607751</c:v>
                </c:pt>
                <c:pt idx="5">
                  <c:v>262395.37730526028</c:v>
                </c:pt>
                <c:pt idx="6">
                  <c:v>243727.47441566386</c:v>
                </c:pt>
                <c:pt idx="7">
                  <c:v>189219.93412906834</c:v>
                </c:pt>
                <c:pt idx="8">
                  <c:v>219517.57040428068</c:v>
                </c:pt>
                <c:pt idx="9">
                  <c:v>142374.2651866792</c:v>
                </c:pt>
                <c:pt idx="10">
                  <c:v>87524.185547673347</c:v>
                </c:pt>
                <c:pt idx="11">
                  <c:v>48347.9</c:v>
                </c:pt>
                <c:pt idx="12">
                  <c:v>8400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3-41DE-8852-D6A4C0B91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1956208"/>
        <c:axId val="771950800"/>
      </c:barChart>
      <c:dateAx>
        <c:axId val="771956208"/>
        <c:scaling>
          <c:orientation val="minMax"/>
        </c:scaling>
        <c:delete val="0"/>
        <c:axPos val="b"/>
        <c:numFmt formatCode="[$-416]mmm\-yy;@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71950800"/>
        <c:crosses val="autoZero"/>
        <c:auto val="1"/>
        <c:lblOffset val="100"/>
        <c:baseTimeUnit val="months"/>
      </c:dateAx>
      <c:valAx>
        <c:axId val="77195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71956208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_xlchart.v2.1</cx:f>
      </cx:numDim>
    </cx:data>
  </cx:chartData>
  <cx:chart>
    <cx:title pos="t" align="ctr" overlay="0">
      <cx:tx>
        <cx:txData>
          <cx:v>Distribuição do Custo por Grupo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defRPr>
          </a:pPr>
          <a:r>
            <a:rPr lang="pt-BR" sz="1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cs typeface="Arial" panose="020B0604020202020204" pitchFamily="34" charset="0"/>
            </a:rPr>
            <a:t>Distribuição do Custo por Grupo</a:t>
          </a:r>
        </a:p>
      </cx:txPr>
    </cx:title>
    <cx:plotArea>
      <cx:plotAreaRegion>
        <cx:series layoutId="funnel" uniqueId="{6B07D539-61EB-40CD-A088-31795C99FBAC}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ea typeface="Arial" panose="020B0604020202020204" pitchFamily="34" charset="0"/>
                    <a:cs typeface="Arial" panose="020B0604020202020204" pitchFamily="34" charset="0"/>
                  </a:defRPr>
                </a:pPr>
                <a:endParaRPr lang="pt-BR" sz="900" b="1" i="0" u="none" strike="noStrike" baseline="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defRPr>
            </a:pPr>
            <a:endParaRPr lang="pt-BR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x:txPr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266697</xdr:colOff>
      <xdr:row>0</xdr:row>
      <xdr:rowOff>0</xdr:rowOff>
    </xdr:from>
    <xdr:to>
      <xdr:col>19</xdr:col>
      <xdr:colOff>598714</xdr:colOff>
      <xdr:row>12</xdr:row>
      <xdr:rowOff>149679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989F611F-5BEE-47B9-A0DC-1F68C7E7CDF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95897" y="0"/>
              <a:ext cx="10695217" cy="243567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7</xdr:col>
      <xdr:colOff>280346</xdr:colOff>
      <xdr:row>15</xdr:row>
      <xdr:rowOff>188939</xdr:rowOff>
    </xdr:from>
    <xdr:to>
      <xdr:col>15</xdr:col>
      <xdr:colOff>247009</xdr:colOff>
      <xdr:row>28</xdr:row>
      <xdr:rowOff>155602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B48CAC6-8BDA-4F15-8753-8D2B4022A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100011</xdr:colOff>
      <xdr:row>30</xdr:row>
      <xdr:rowOff>185737</xdr:rowOff>
    </xdr:from>
    <xdr:to>
      <xdr:col>19</xdr:col>
      <xdr:colOff>142875</xdr:colOff>
      <xdr:row>38</xdr:row>
      <xdr:rowOff>47624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B2433D9-9676-4E0C-B7A1-2C27394D7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134470</xdr:colOff>
      <xdr:row>0</xdr:row>
      <xdr:rowOff>11206</xdr:rowOff>
    </xdr:from>
    <xdr:to>
      <xdr:col>36</xdr:col>
      <xdr:colOff>345381</xdr:colOff>
      <xdr:row>21</xdr:row>
      <xdr:rowOff>1680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48995E5-4736-40F6-B975-6BA30F93E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1387929</xdr:colOff>
      <xdr:row>22</xdr:row>
      <xdr:rowOff>57150</xdr:rowOff>
    </xdr:from>
    <xdr:to>
      <xdr:col>23</xdr:col>
      <xdr:colOff>470647</xdr:colOff>
      <xdr:row>36</xdr:row>
      <xdr:rowOff>100853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9DC734A-2B2F-4E08-91A6-5F99D325ED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1374322</xdr:colOff>
      <xdr:row>11</xdr:row>
      <xdr:rowOff>143557</xdr:rowOff>
    </xdr:from>
    <xdr:to>
      <xdr:col>22</xdr:col>
      <xdr:colOff>653144</xdr:colOff>
      <xdr:row>21</xdr:row>
      <xdr:rowOff>176895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83AF440-51E5-4A58-90AB-7444E3661B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acha Sauer" refreshedDate="44453.755559490739" createdVersion="7" refreshedVersion="7" minRefreshableVersion="3" recordCount="129" xr:uid="{D5403FC4-A480-4072-9911-65A83C8BC817}">
  <cacheSource type="worksheet">
    <worksheetSource ref="A2:N131" sheet="VICO"/>
  </cacheSource>
  <cacheFields count="14">
    <cacheField name="Hierarchy" numFmtId="0">
      <sharedItems containsMixedTypes="1" containsNumber="1" containsInteger="1" minValue="-30" maxValue="-1"/>
    </cacheField>
    <cacheField name="TIPO" numFmtId="0">
      <sharedItems count="2">
        <s v="PROCESSO"/>
        <s v="atividade"/>
      </sharedItems>
    </cacheField>
    <cacheField name="Code" numFmtId="0">
      <sharedItems containsMixedTypes="1" containsNumber="1" containsInteger="1" minValue="1" maxValue="31"/>
    </cacheField>
    <cacheField name="PROCESSO" numFmtId="0">
      <sharedItems containsBlank="1"/>
    </cacheField>
    <cacheField name="Name" numFmtId="0">
      <sharedItems/>
    </cacheField>
    <cacheField name="Quantity" numFmtId="0">
      <sharedItems containsSemiMixedTypes="0" containsString="0" containsNumber="1" minValue="0.33" maxValue="2693.28"/>
    </cacheField>
    <cacheField name="Unit" numFmtId="0">
      <sharedItems/>
    </cacheField>
    <cacheField name="by Progress" numFmtId="0">
      <sharedItems containsSemiMixedTypes="0" containsString="0" containsNumber="1" containsInteger="1" minValue="0" maxValue="0"/>
    </cacheField>
    <cacheField name="Start time" numFmtId="166">
      <sharedItems containsSemiMixedTypes="0" containsNonDate="0" containsDate="1" containsString="0" minDate="2021-08-16T00:00:00" maxDate="2022-05-27T00:00:00"/>
    </cacheField>
    <cacheField name="End point" numFmtId="166">
      <sharedItems containsSemiMixedTypes="0" containsNonDate="0" containsDate="1" containsString="0" minDate="2021-08-20T00:00:00" maxDate="2022-06-04T00:00:00"/>
    </cacheField>
    <cacheField name="SEMANA" numFmtId="1">
      <sharedItems containsSemiMixedTypes="0" containsString="0" containsNumber="1" containsInteger="1" minValue="1" maxValue="42" count="40">
        <n v="1"/>
        <n v="4"/>
        <n v="5"/>
        <n v="6"/>
        <n v="7"/>
        <n v="16"/>
        <n v="8"/>
        <n v="10"/>
        <n v="12"/>
        <n v="14"/>
        <n v="15"/>
        <n v="9"/>
        <n v="11"/>
        <n v="13"/>
        <n v="17"/>
        <n v="19"/>
        <n v="18"/>
        <n v="20"/>
        <n v="23"/>
        <n v="21"/>
        <n v="22"/>
        <n v="25"/>
        <n v="24"/>
        <n v="27"/>
        <n v="26"/>
        <n v="28"/>
        <n v="29"/>
        <n v="31"/>
        <n v="30"/>
        <n v="32"/>
        <n v="33"/>
        <n v="34"/>
        <n v="38"/>
        <n v="35"/>
        <n v="36"/>
        <n v="37"/>
        <n v="39"/>
        <n v="41"/>
        <n v="40"/>
        <n v="42"/>
      </sharedItems>
    </cacheField>
    <cacheField name="Duration" numFmtId="0">
      <sharedItems containsSemiMixedTypes="0" containsString="0" containsNumber="1" minValue="0" maxValue="30"/>
    </cacheField>
    <cacheField name="Costs" numFmtId="164">
      <sharedItems containsSemiMixedTypes="0" containsString="0" containsNumber="1" minValue="36" maxValue="407381.7"/>
    </cacheField>
    <cacheField name="Costs Plan" numFmtId="164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acha Sauer" refreshedDate="44453.792812962965" createdVersion="7" refreshedVersion="7" minRefreshableVersion="3" recordCount="129" xr:uid="{1869168B-68E4-4BF1-853B-B00913B2F0A1}">
  <cacheSource type="worksheet">
    <worksheetSource ref="A2:S131" sheet="VICO"/>
  </cacheSource>
  <cacheFields count="19">
    <cacheField name="Hierarchy" numFmtId="0">
      <sharedItems containsMixedTypes="1" containsNumber="1" containsInteger="1" minValue="-30" maxValue="-1"/>
    </cacheField>
    <cacheField name="TIPO" numFmtId="0">
      <sharedItems/>
    </cacheField>
    <cacheField name="Code" numFmtId="0">
      <sharedItems containsMixedTypes="1" containsNumber="1" containsInteger="1" minValue="1" maxValue="31"/>
    </cacheField>
    <cacheField name="PROCESSO" numFmtId="0">
      <sharedItems containsBlank="1"/>
    </cacheField>
    <cacheField name="Name" numFmtId="0">
      <sharedItems/>
    </cacheField>
    <cacheField name="Quantity" numFmtId="0">
      <sharedItems containsSemiMixedTypes="0" containsString="0" containsNumber="1" minValue="0.33" maxValue="2693.28"/>
    </cacheField>
    <cacheField name="Unit" numFmtId="0">
      <sharedItems/>
    </cacheField>
    <cacheField name="by Progress" numFmtId="0">
      <sharedItems containsSemiMixedTypes="0" containsString="0" containsNumber="1" containsInteger="1" minValue="0" maxValue="0"/>
    </cacheField>
    <cacheField name="Start time" numFmtId="166">
      <sharedItems containsSemiMixedTypes="0" containsNonDate="0" containsDate="1" containsString="0" minDate="2021-08-16T00:00:00" maxDate="2022-05-27T00:00:00"/>
    </cacheField>
    <cacheField name="End point" numFmtId="166">
      <sharedItems containsSemiMixedTypes="0" containsNonDate="0" containsDate="1" containsString="0" minDate="2021-08-20T00:00:00" maxDate="2022-06-04T00:00:00"/>
    </cacheField>
    <cacheField name="SEMANA" numFmtId="1">
      <sharedItems containsSemiMixedTypes="0" containsString="0" containsNumber="1" containsInteger="1" minValue="1" maxValue="42" count="40">
        <n v="1"/>
        <n v="4"/>
        <n v="5"/>
        <n v="6"/>
        <n v="7"/>
        <n v="16"/>
        <n v="8"/>
        <n v="10"/>
        <n v="12"/>
        <n v="14"/>
        <n v="15"/>
        <n v="9"/>
        <n v="11"/>
        <n v="13"/>
        <n v="17"/>
        <n v="19"/>
        <n v="18"/>
        <n v="20"/>
        <n v="23"/>
        <n v="21"/>
        <n v="22"/>
        <n v="25"/>
        <n v="24"/>
        <n v="27"/>
        <n v="26"/>
        <n v="28"/>
        <n v="29"/>
        <n v="31"/>
        <n v="30"/>
        <n v="32"/>
        <n v="33"/>
        <n v="34"/>
        <n v="38"/>
        <n v="35"/>
        <n v="36"/>
        <n v="37"/>
        <n v="39"/>
        <n v="41"/>
        <n v="40"/>
        <n v="42"/>
      </sharedItems>
    </cacheField>
    <cacheField name="Duration" numFmtId="0">
      <sharedItems containsSemiMixedTypes="0" containsString="0" containsNumber="1" minValue="0" maxValue="30"/>
    </cacheField>
    <cacheField name="Costs" numFmtId="164">
      <sharedItems containsSemiMixedTypes="0" containsString="0" containsNumber="1" minValue="36" maxValue="407381.7"/>
    </cacheField>
    <cacheField name="Costs Plan" numFmtId="164">
      <sharedItems containsString="0" containsBlank="1" containsNumber="1" containsInteger="1" minValue="0" maxValue="0"/>
    </cacheField>
    <cacheField name="EXE by Progress" numFmtId="0">
      <sharedItems containsString="0" containsBlank="1" containsNumber="1" containsInteger="1" minValue="1" maxValue="1"/>
    </cacheField>
    <cacheField name="EXE Start" numFmtId="0">
      <sharedItems containsNonDate="0" containsDate="1" containsString="0" containsBlank="1" minDate="2021-09-10T00:00:00" maxDate="2021-09-11T00:00:00"/>
    </cacheField>
    <cacheField name="EXE End" numFmtId="0">
      <sharedItems containsNonDate="0" containsDate="1" containsString="0" containsBlank="1" minDate="2021-09-13T00:00:00" maxDate="2021-09-14T00:00:00"/>
    </cacheField>
    <cacheField name="EXE Duration" numFmtId="0">
      <sharedItems containsString="0" containsBlank="1" containsNumber="1" containsInteger="1" minValue="2" maxValue="2"/>
    </cacheField>
    <cacheField name="Executado" numFmtId="0">
      <sharedItems containsString="0" containsBlank="1" containsNumber="1" minValue="0" maxValue="2720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acha Sauer" refreshedDate="44454.664315277776" createdVersion="7" refreshedVersion="7" minRefreshableVersion="3" recordCount="129" xr:uid="{8A482486-6310-4199-BDDE-23E630A2F090}">
  <cacheSource type="worksheet">
    <worksheetSource ref="A2:AG131" sheet="VICO"/>
  </cacheSource>
  <cacheFields count="37">
    <cacheField name="Hierarchy" numFmtId="0">
      <sharedItems containsMixedTypes="1" containsNumber="1" containsInteger="1" minValue="-30" maxValue="-1"/>
    </cacheField>
    <cacheField name="TIPO" numFmtId="0">
      <sharedItems/>
    </cacheField>
    <cacheField name="Code" numFmtId="0">
      <sharedItems containsMixedTypes="1" containsNumber="1" containsInteger="1" minValue="1" maxValue="31"/>
    </cacheField>
    <cacheField name="PROCESSO" numFmtId="0">
      <sharedItems containsBlank="1"/>
    </cacheField>
    <cacheField name="Name" numFmtId="0">
      <sharedItems/>
    </cacheField>
    <cacheField name="Quantity" numFmtId="0">
      <sharedItems containsSemiMixedTypes="0" containsString="0" containsNumber="1" minValue="0.33" maxValue="2693.28"/>
    </cacheField>
    <cacheField name="Unit" numFmtId="0">
      <sharedItems/>
    </cacheField>
    <cacheField name="by Progress" numFmtId="0">
      <sharedItems containsSemiMixedTypes="0" containsString="0" containsNumber="1" containsInteger="1" minValue="0" maxValue="0"/>
    </cacheField>
    <cacheField name="Start time" numFmtId="166">
      <sharedItems containsSemiMixedTypes="0" containsNonDate="0" containsDate="1" containsString="0" minDate="2021-08-16T00:00:00" maxDate="2022-05-27T00:00:00"/>
    </cacheField>
    <cacheField name="End point" numFmtId="166">
      <sharedItems containsSemiMixedTypes="0" containsNonDate="0" containsDate="1" containsString="0" minDate="2021-08-20T00:00:00" maxDate="2022-06-04T00:00:00"/>
    </cacheField>
    <cacheField name="SEMANA" numFmtId="1">
      <sharedItems containsSemiMixedTypes="0" containsString="0" containsNumber="1" containsInteger="1" minValue="1" maxValue="42"/>
    </cacheField>
    <cacheField name="Duration" numFmtId="0">
      <sharedItems containsSemiMixedTypes="0" containsString="0" containsNumber="1" minValue="0" maxValue="30"/>
    </cacheField>
    <cacheField name="Costs" numFmtId="164">
      <sharedItems containsSemiMixedTypes="0" containsString="0" containsNumber="1" minValue="36" maxValue="407381.7"/>
    </cacheField>
    <cacheField name="Costs Plan" numFmtId="164">
      <sharedItems containsString="0" containsBlank="1" containsNumber="1" containsInteger="1" minValue="0" maxValue="0"/>
    </cacheField>
    <cacheField name="EXE by Progress" numFmtId="0">
      <sharedItems containsString="0" containsBlank="1" containsNumber="1" containsInteger="1" minValue="1" maxValue="1"/>
    </cacheField>
    <cacheField name="EXE Start" numFmtId="0">
      <sharedItems containsNonDate="0" containsDate="1" containsString="0" containsBlank="1" minDate="2021-09-10T00:00:00" maxDate="2021-09-11T00:00:00"/>
    </cacheField>
    <cacheField name="EXE End" numFmtId="0">
      <sharedItems containsNonDate="0" containsDate="1" containsString="0" containsBlank="1" minDate="2021-09-13T00:00:00" maxDate="2021-09-14T00:00:00"/>
    </cacheField>
    <cacheField name="EXE Duration" numFmtId="0">
      <sharedItems containsString="0" containsBlank="1" containsNumber="1" containsInteger="1" minValue="2" maxValue="2"/>
    </cacheField>
    <cacheField name="Executado" numFmtId="0">
      <sharedItems containsString="0" containsBlank="1" containsNumber="1" minValue="0" maxValue="2720.5"/>
    </cacheField>
    <cacheField name="Start time2" numFmtId="0">
      <sharedItems containsSemiMixedTypes="0" containsDate="1" containsString="0" containsMixedTypes="1" minDate="2021-09-10T00:00:00" maxDate="2022-06-07T00:00:00"/>
    </cacheField>
    <cacheField name="End point2" numFmtId="14">
      <sharedItems containsSemiMixedTypes="0" containsNonDate="0" containsDate="1" containsString="0" minDate="2021-09-13T00:00:00" maxDate="2022-06-14T00:00:00"/>
    </cacheField>
    <cacheField name="Duration2" numFmtId="0">
      <sharedItems containsSemiMixedTypes="0" containsDate="1" containsString="0" containsMixedTypes="1" minDate="1899-12-31T00:00:00" maxDate="1899-12-31T01:03:04"/>
    </cacheField>
    <cacheField name="Costs2" numFmtId="0">
      <sharedItems containsSemiMixedTypes="0" containsString="0" containsNumber="1" minValue="36" maxValue="407381.7"/>
    </cacheField>
    <cacheField name="by Progress2" numFmtId="0">
      <sharedItems/>
    </cacheField>
    <cacheField name="Start time3" numFmtId="0">
      <sharedItems containsString="0" containsBlank="1" containsNumber="1" containsInteger="1" minValue="-25" maxValue="-25"/>
    </cacheField>
    <cacheField name="End point3" numFmtId="0">
      <sharedItems containsString="0" containsBlank="1" containsNumber="1" containsInteger="1" minValue="-24" maxValue="-24"/>
    </cacheField>
    <cacheField name="Duration3" numFmtId="0">
      <sharedItems containsString="0" containsBlank="1" containsNumber="1" containsInteger="1" minValue="-1" maxValue="-1"/>
    </cacheField>
    <cacheField name="%MO" numFmtId="9">
      <sharedItems containsString="0" containsBlank="1" containsNumber="1" minValue="0" maxValue="1"/>
    </cacheField>
    <cacheField name="%MAT" numFmtId="9">
      <sharedItems containsString="0" containsBlank="1" containsNumber="1" minValue="0" maxValue="1"/>
    </cacheField>
    <cacheField name="R$ MO" numFmtId="0">
      <sharedItems containsString="0" containsBlank="1" containsNumber="1" minValue="0" maxValue="24874"/>
    </cacheField>
    <cacheField name="R$ MAT" numFmtId="0">
      <sharedItems containsString="0" containsBlank="1" containsNumber="1" minValue="0" maxValue="83543.017068704386"/>
    </cacheField>
    <cacheField name="DATA MAT" numFmtId="0">
      <sharedItems containsNonDate="0" containsDate="1" containsString="0" containsBlank="1" minDate="2021-08-01T00:00:00" maxDate="2022-05-12T00:00:00" count="52">
        <m/>
        <d v="2021-08-01T00:00:00"/>
        <d v="2021-08-08T00:00:00"/>
        <d v="2021-08-22T00:00:00"/>
        <d v="2021-08-29T00:00:00"/>
        <d v="2021-09-05T00:00:00"/>
        <d v="2021-11-11T00:00:00"/>
        <d v="2021-09-12T00:00:00"/>
        <d v="2021-09-27T00:00:00"/>
        <d v="2021-10-11T00:00:00"/>
        <d v="2021-10-26T00:00:00"/>
        <d v="2021-09-19T00:00:00"/>
        <d v="2021-10-04T00:00:00"/>
        <d v="2021-10-19T00:00:00"/>
        <d v="2021-11-03T00:00:00"/>
        <d v="2021-11-18T00:00:00"/>
        <d v="2021-11-25T00:00:00"/>
        <d v="2021-12-02T00:00:00"/>
        <d v="2021-12-01T00:00:00"/>
        <d v="2021-12-06T00:00:00"/>
        <d v="2021-12-08T00:00:00"/>
        <d v="2021-12-13T00:00:00"/>
        <d v="2021-12-20T00:00:00"/>
        <d v="2021-12-27T00:00:00"/>
        <d v="2022-01-04T00:00:00"/>
        <d v="2022-01-11T00:00:00"/>
        <d v="2022-01-18T00:00:00"/>
        <d v="2022-01-25T00:00:00"/>
        <d v="2022-02-01T00:00:00"/>
        <d v="2022-02-09T00:00:00"/>
        <d v="2022-02-16T00:00:00"/>
        <d v="2022-02-23T00:00:00"/>
        <d v="2022-03-02T00:00:00"/>
        <d v="2022-03-09T00:00:00"/>
        <d v="2022-03-07T00:00:00"/>
        <d v="2022-03-08T00:00:00"/>
        <d v="2022-03-16T00:00:00"/>
        <d v="2022-03-23T00:00:00"/>
        <d v="2022-03-30T00:00:00"/>
        <d v="2022-04-06T00:00:00"/>
        <d v="2022-04-13T00:00:00"/>
        <d v="2022-03-20T00:00:00"/>
        <d v="2022-03-27T00:00:00"/>
        <d v="2022-04-10T00:00:00"/>
        <d v="2022-04-17T00:00:00"/>
        <d v="2022-04-20T00:00:00"/>
        <d v="2022-04-27T00:00:00"/>
        <d v="2022-05-04T00:00:00"/>
        <d v="2021-11-24T00:00:00"/>
        <d v="2022-05-11T00:00:00"/>
        <d v="2021-12-09T00:00:00"/>
        <d v="2021-12-16T00:00:00"/>
      </sharedItems>
      <fieldGroup par="34" base="31">
        <rangePr groupBy="months" startDate="2021-08-01T00:00:00" endDate="2022-05-12T00:00:00"/>
        <groupItems count="14">
          <s v="(vazio)"/>
          <s v="jan"/>
          <s v="fev"/>
          <s v="mar"/>
          <s v="abr"/>
          <s v="mai"/>
          <s v="jun"/>
          <s v="jul"/>
          <s v="ago"/>
          <s v="set"/>
          <s v="out"/>
          <s v="nov"/>
          <s v="dez"/>
          <s v="&gt;12/05/2022"/>
        </groupItems>
      </fieldGroup>
    </cacheField>
    <cacheField name="DATA MO" numFmtId="0">
      <sharedItems containsNonDate="0" containsDate="1" containsString="0" containsBlank="1" minDate="2021-09-04T00:00:00" maxDate="2022-06-19T00:00:00" count="54">
        <m/>
        <d v="2021-09-04T00:00:00"/>
        <d v="2021-09-21T00:00:00"/>
        <d v="2021-09-28T00:00:00"/>
        <d v="2021-10-05T00:00:00"/>
        <d v="2021-10-12T00:00:00"/>
        <d v="2021-12-18T00:00:00"/>
        <d v="2021-10-19T00:00:00"/>
        <d v="2021-11-03T00:00:00"/>
        <d v="2021-11-18T00:00:00"/>
        <d v="2021-12-03T00:00:00"/>
        <d v="2021-10-27T00:00:00"/>
        <d v="2021-11-10T00:00:00"/>
        <d v="2021-11-25T00:00:00"/>
        <d v="2021-12-11T00:00:00"/>
        <d v="2021-12-24T00:00:00"/>
        <d v="2021-12-25T00:00:00"/>
        <d v="2022-01-01T00:00:00"/>
        <d v="2022-01-08T00:00:00"/>
        <d v="2022-01-05T00:00:00"/>
        <d v="2022-01-07T00:00:00"/>
        <d v="2022-01-12T00:00:00"/>
        <d v="2022-01-14T00:00:00"/>
        <d v="2022-01-19T00:00:00"/>
        <d v="2022-01-26T00:00:00"/>
        <d v="2022-02-03T00:00:00"/>
        <d v="2022-02-10T00:00:00"/>
        <d v="2022-02-17T00:00:00"/>
        <d v="2022-02-24T00:00:00"/>
        <d v="2022-03-03T00:00:00"/>
        <d v="2022-03-11T00:00:00"/>
        <d v="2022-03-18T00:00:00"/>
        <d v="2022-03-25T00:00:00"/>
        <d v="2022-04-01T00:00:00"/>
        <d v="2022-04-08T00:00:00"/>
        <d v="2022-04-15T00:00:00"/>
        <d v="2022-04-07T00:00:00"/>
        <d v="2022-04-09T00:00:00"/>
        <d v="2022-04-22T00:00:00"/>
        <d v="2022-04-29T00:00:00"/>
        <d v="2022-05-06T00:00:00"/>
        <d v="2022-05-13T00:00:00"/>
        <d v="2022-05-20T00:00:00"/>
        <d v="2022-04-19T00:00:00"/>
        <d v="2022-04-26T00:00:00"/>
        <d v="2022-05-17T00:00:00"/>
        <d v="2022-05-24T00:00:00"/>
        <d v="2022-05-27T00:00:00"/>
        <d v="2022-06-03T00:00:00"/>
        <d v="2022-06-10T00:00:00"/>
        <d v="2021-12-31T00:00:00"/>
        <d v="2022-06-18T00:00:00"/>
        <d v="2022-01-15T00:00:00"/>
        <d v="2022-01-29T00:00:00"/>
      </sharedItems>
      <fieldGroup par="36" base="32">
        <rangePr groupBy="months" startDate="2021-09-04T00:00:00" endDate="2022-06-19T00:00:00"/>
        <groupItems count="14">
          <s v="(vazio)"/>
          <s v="jan"/>
          <s v="fev"/>
          <s v="mar"/>
          <s v="abr"/>
          <s v="mai"/>
          <s v="jun"/>
          <s v="jul"/>
          <s v="ago"/>
          <s v="set"/>
          <s v="out"/>
          <s v="nov"/>
          <s v="dez"/>
          <s v="&gt;19/06/2022"/>
        </groupItems>
      </fieldGroup>
    </cacheField>
    <cacheField name="Trimestres" numFmtId="0" databaseField="0">
      <fieldGroup base="31">
        <rangePr groupBy="quarters" startDate="2021-08-01T00:00:00" endDate="2022-05-12T00:00:00"/>
        <groupItems count="6">
          <s v="&lt;01/08/2021"/>
          <s v="Trim1"/>
          <s v="Trim2"/>
          <s v="Trim3"/>
          <s v="Trim4"/>
          <s v="&gt;12/05/2022"/>
        </groupItems>
      </fieldGroup>
    </cacheField>
    <cacheField name="Anos" numFmtId="0" databaseField="0">
      <fieldGroup base="31">
        <rangePr groupBy="years" startDate="2021-08-01T00:00:00" endDate="2022-05-12T00:00:00"/>
        <groupItems count="4">
          <s v="&lt;01/08/2021"/>
          <s v="2021"/>
          <s v="2022"/>
          <s v="&gt;12/05/2022"/>
        </groupItems>
      </fieldGroup>
    </cacheField>
    <cacheField name="Trimestres2" numFmtId="0" databaseField="0">
      <fieldGroup base="32">
        <rangePr groupBy="quarters" startDate="2021-09-04T00:00:00" endDate="2022-06-19T00:00:00"/>
        <groupItems count="6">
          <s v="&lt;04/09/2021"/>
          <s v="Trim1"/>
          <s v="Trim2"/>
          <s v="Trim3"/>
          <s v="Trim4"/>
          <s v="&gt;19/06/2022"/>
        </groupItems>
      </fieldGroup>
    </cacheField>
    <cacheField name="Anos2" numFmtId="0" databaseField="0">
      <fieldGroup base="32">
        <rangePr groupBy="years" startDate="2021-09-04T00:00:00" endDate="2022-06-19T00:00:00"/>
        <groupItems count="4">
          <s v="&lt;04/09/2021"/>
          <s v="2021"/>
          <s v="2022"/>
          <s v="&gt;19/06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acha Sauer" refreshedDate="44454.88191261574" createdVersion="7" refreshedVersion="7" minRefreshableVersion="3" recordCount="365" xr:uid="{E738F1DF-EAFA-4C59-B9C3-018F2FDF21F0}">
  <cacheSource type="worksheet">
    <worksheetSource ref="A1:J366" sheet="Vico Edificação"/>
  </cacheSource>
  <cacheFields count="10">
    <cacheField name="nível" numFmtId="0">
      <sharedItems containsBlank="1" containsMixedTypes="1" containsNumber="1" containsInteger="1" minValue="-30" maxValue="-1"/>
    </cacheField>
    <cacheField name="classificação" numFmtId="0">
      <sharedItems containsBlank="1" count="4">
        <s v="ATIVIDADE"/>
        <s v="serviço"/>
        <s v="insumo"/>
        <m/>
      </sharedItems>
    </cacheField>
    <cacheField name="código" numFmtId="0">
      <sharedItems containsBlank="1" containsMixedTypes="1" containsNumber="1" containsInteger="1" minValue="1" maxValue="91929"/>
    </cacheField>
    <cacheField name="ATIVIDADE" numFmtId="0">
      <sharedItems containsBlank="1" count="31">
        <m/>
        <s v="LOCAÇÃO E GABARITO"/>
        <s v="ESTACAS"/>
        <s v="VIGAS BALDRAMES"/>
        <s v="INSTALAçõES ENTERRADAS"/>
        <s v="CONTRAPISO"/>
        <s v="ALVENARIA ESTRUTURAL"/>
        <s v="ESTRUTURA MOLDADO IN LOCO"/>
        <s v="INSTALAçõES HIDROSSANITáRIAS"/>
        <s v="REBOCO INTERNO"/>
        <s v="SHAFT "/>
        <s v="IMPERMEABILIZAçãO DO WC"/>
        <s v="CERâMICA APTOS"/>
        <s v="GESSO LISO"/>
        <s v="ESQUADRIA DE ALUMINIO"/>
        <s v="FIAçãO"/>
        <s v="FORRO"/>
        <s v="DISJUNTORES E CD"/>
        <s v="REVESTIMENTO DA CIRCULAçãO"/>
        <s v="PINTURA INTERNA - 1ªDMãO"/>
        <s v="ESQUADRIAS DE FERRO"/>
        <s v="LOUçAS"/>
        <s v="PISO VINILICO"/>
        <s v="PORTAS DE MADEIRA"/>
        <s v="METAIS "/>
        <s v="PINTURA FINAL"/>
        <s v="TELHADO "/>
        <s v="ALGEROSA + RUFOS"/>
        <s v="COMPLEMENTAçãO E LIMPEZA"/>
        <s v="REBOCO EXTERNO"/>
        <s v="PINTURA EXTERNA"/>
      </sharedItems>
    </cacheField>
    <cacheField name="item" numFmtId="0">
      <sharedItems/>
    </cacheField>
    <cacheField name="qtde" numFmtId="4">
      <sharedItems containsString="0" containsBlank="1" containsNumber="1" minValue="0" maxValue="45192.7"/>
    </cacheField>
    <cacheField name="unidade" numFmtId="0">
      <sharedItems containsBlank="1"/>
    </cacheField>
    <cacheField name="R$ unitário" numFmtId="4">
      <sharedItems containsString="0" containsBlank="1" containsNumber="1" minValue="0" maxValue="34356.19"/>
    </cacheField>
    <cacheField name="R$ total" numFmtId="4">
      <sharedItems containsSemiMixedTypes="0" containsString="0" containsNumber="1" minValue="0" maxValue="407382"/>
    </cacheField>
    <cacheField name="MO/MT" numFmtId="164">
      <sharedItems containsBlank="1" containsMixedTypes="1" containsNumber="1" containsInteger="1" minValue="0" maxValue="0" count="4">
        <m/>
        <s v="material"/>
        <s v="mão de obra"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acha Sauer" refreshedDate="44455.461684027781" createdVersion="7" refreshedVersion="7" minRefreshableVersion="3" recordCount="209" xr:uid="{F232028D-4FA1-4216-8D8C-6816F730FE42}">
  <cacheSource type="worksheet">
    <worksheetSource ref="A1:M210" sheet="ORÇAMENTO GERAL"/>
  </cacheSource>
  <cacheFields count="13">
    <cacheField name="definição" numFmtId="0">
      <sharedItems containsBlank="1"/>
    </cacheField>
    <cacheField name="TIPO" numFmtId="0">
      <sharedItems containsBlank="1" count="3">
        <s v="CUSTO"/>
        <m/>
        <s v="DESPESA"/>
      </sharedItems>
    </cacheField>
    <cacheField name="ITEM" numFmtId="0">
      <sharedItems containsMixedTypes="1" containsNumber="1" containsInteger="1" minValue="1" maxValue="8"/>
    </cacheField>
    <cacheField name="grupo" numFmtId="0">
      <sharedItems/>
    </cacheField>
    <cacheField name="DESCRIÇÃO" numFmtId="0">
      <sharedItems/>
    </cacheField>
    <cacheField name="Und" numFmtId="0">
      <sharedItems containsBlank="1"/>
    </cacheField>
    <cacheField name="Quant." numFmtId="0">
      <sharedItems containsString="0" containsBlank="1" containsNumber="1" containsInteger="1" minValue="0" maxValue="16"/>
    </cacheField>
    <cacheField name="Valor Unit" numFmtId="164">
      <sharedItems containsString="0" containsBlank="1" containsNumber="1" containsInteger="1" minValue="0" maxValue="100000"/>
    </cacheField>
    <cacheField name="Total" numFmtId="0">
      <sharedItems containsString="0" containsBlank="1" containsNumber="1" minValue="0" maxValue="1534647.0000000002"/>
    </cacheField>
    <cacheField name="CLASSIFICAÇÃO 1" numFmtId="0">
      <sharedItems containsBlank="1"/>
    </cacheField>
    <cacheField name="CLASSIFICAÇÃO 2" numFmtId="0">
      <sharedItems containsBlank="1" count="8">
        <s v="Quantidade"/>
        <m/>
        <s v="Tempo - Processo"/>
        <s v="Início"/>
        <s v="Término"/>
        <s v="Tempo - Prazo Total"/>
        <s v="Vendas"/>
        <s v="Tempo" u="1"/>
      </sharedItems>
    </cacheField>
    <cacheField name="CLASSIFICAÇÃO 3" numFmtId="0">
      <sharedItems containsBlank="1"/>
    </cacheField>
    <cacheField name="EVENTO/PROCESSO LOB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tacha Sauer" refreshedDate="44455.708560300925" createdVersion="7" refreshedVersion="7" minRefreshableVersion="3" recordCount="209" xr:uid="{A45060A0-61DB-4471-A710-F1FFA4F12AE9}">
  <cacheSource type="worksheet">
    <worksheetSource ref="B1:N210" sheet="ORÇAMENTO GERAL"/>
  </cacheSource>
  <cacheFields count="13">
    <cacheField name="TIPO" numFmtId="0">
      <sharedItems containsBlank="1" count="3">
        <s v="CUSTO"/>
        <m/>
        <s v="DESPESA"/>
      </sharedItems>
    </cacheField>
    <cacheField name="ITEM" numFmtId="0">
      <sharedItems containsMixedTypes="1" containsNumber="1" containsInteger="1" minValue="1" maxValue="8"/>
    </cacheField>
    <cacheField name="grupo" numFmtId="0">
      <sharedItems/>
    </cacheField>
    <cacheField name="DESCRIÇÃO" numFmtId="0">
      <sharedItems/>
    </cacheField>
    <cacheField name="Und" numFmtId="0">
      <sharedItems containsBlank="1"/>
    </cacheField>
    <cacheField name="Quant." numFmtId="0">
      <sharedItems containsString="0" containsBlank="1" containsNumber="1" containsInteger="1" minValue="1" maxValue="16" count="8">
        <n v="1"/>
        <m/>
        <n v="4"/>
        <n v="6"/>
        <n v="2"/>
        <n v="11"/>
        <n v="3"/>
        <n v="16"/>
      </sharedItems>
    </cacheField>
    <cacheField name="Valor Unit" numFmtId="164">
      <sharedItems containsString="0" containsBlank="1" containsNumber="1" containsInteger="1" minValue="50" maxValue="100000"/>
    </cacheField>
    <cacheField name="Total" numFmtId="44">
      <sharedItems containsString="0" containsBlank="1" containsNumber="1" minValue="100" maxValue="1534647.0000000002"/>
    </cacheField>
    <cacheField name="CLASSIFICAÇÃO 1" numFmtId="0">
      <sharedItems containsBlank="1"/>
    </cacheField>
    <cacheField name="CLASSIFICAÇÃO 2" numFmtId="0">
      <sharedItems containsBlank="1" count="7">
        <s v="Quantidade"/>
        <m/>
        <s v="Tempo - Processo"/>
        <s v="Início"/>
        <s v="Término"/>
        <s v="Tempo - Prazo Total"/>
        <s v="Vendas"/>
      </sharedItems>
    </cacheField>
    <cacheField name="CLASSIFICAÇÃO 3" numFmtId="0">
      <sharedItems containsBlank="1" count="4">
        <m/>
        <s v="Processo"/>
        <s v="Evento"/>
        <s v="Total"/>
      </sharedItems>
    </cacheField>
    <cacheField name="EVENTO/PROCESSO LOB" numFmtId="0">
      <sharedItems containsBlank="1" count="21">
        <m/>
        <s v="Locação até Contrapiso"/>
        <s v="Alvenaria Estrutural - Início"/>
        <s v="Alvenaria Estrutural até Reboco Externo"/>
        <s v="Reboco Externo - Término"/>
        <s v="Alvenaria até Gesso Liso"/>
        <s v="Pintura Externa"/>
        <s v="Pintura Externa - Início"/>
        <s v="Pintura Externa - Término"/>
        <s v="Estrutura Moldado in Loco"/>
        <s v="Fundação - Estrutura Moldado in Loco"/>
        <s v="Mobilização do Canteiro"/>
        <s v="Desmobilização do Canteiro"/>
        <s v="prazo total"/>
        <s v="Gesso Liso - Início"/>
        <s v="Estacas Helice Continua - Término"/>
        <s v="Alvenaria Estrutural"/>
        <s v="Projeto"/>
        <s v="Vistoria"/>
        <s v="Entrega"/>
        <s v="Terreno"/>
      </sharedItems>
    </cacheField>
    <cacheField name="Data" numFmtId="171">
      <sharedItems containsDate="1" containsBlank="1" containsMixedTypes="1" minDate="2021-07-31T00:00:00" maxDate="2022-07-02T00:00:00" count="16">
        <s v="desembolso curva s"/>
        <m/>
        <s v="verifical manual"/>
        <d v="2021-09-27T00:00:00"/>
        <d v="2022-01-14T00:00:00"/>
        <d v="2022-03-10T00:00:00"/>
        <d v="2022-04-21T00:00:00"/>
        <d v="2021-08-01T00:00:00"/>
        <d v="2022-07-01T00:00:00"/>
        <s v="prazo total"/>
        <d v="2022-01-19T00:00:00"/>
        <d v="2021-09-06T00:00:00"/>
        <d v="2021-07-31T00:00:00"/>
        <d v="2022-06-01T00:00:00"/>
        <s v="vendas"/>
        <s v="CURVA 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">
  <r>
    <n v="-1"/>
    <x v="0"/>
    <n v="1"/>
    <m/>
    <s v="LOCAçãO E GABARITO"/>
    <n v="74.739999999999995"/>
    <s v="HR"/>
    <n v="0"/>
    <d v="2021-08-16T00:00:00"/>
    <d v="2021-08-20T00:00:00"/>
    <x v="0"/>
    <n v="5"/>
    <n v="2720.5"/>
    <m/>
  </r>
  <r>
    <s v="   1.1"/>
    <x v="1"/>
    <s v="FUND"/>
    <s v="LOCAçãO E GABARITO"/>
    <s v="EST/ACAB-&gt;FUND"/>
    <n v="74.739999999999995"/>
    <s v="HR"/>
    <n v="0"/>
    <d v="2021-08-16T00:00:00"/>
    <d v="2021-08-20T00:00:00"/>
    <x v="0"/>
    <n v="5"/>
    <n v="2720.5"/>
    <n v="0"/>
  </r>
  <r>
    <n v="-2"/>
    <x v="0"/>
    <n v="2"/>
    <m/>
    <s v="ESTACAS"/>
    <n v="1"/>
    <s v="TORRE"/>
    <n v="0"/>
    <d v="2021-08-23T00:00:00"/>
    <d v="2021-09-06T00:00:00"/>
    <x v="1"/>
    <n v="10"/>
    <n v="34356.199999999997"/>
    <m/>
  </r>
  <r>
    <s v="   2.1"/>
    <x v="1"/>
    <s v="FUND"/>
    <s v="ESTACAS"/>
    <s v="EST/ACAB-&gt;FUND"/>
    <n v="1"/>
    <s v="TORRE"/>
    <n v="0"/>
    <d v="2021-08-23T00:00:00"/>
    <d v="2021-09-06T00:00:00"/>
    <x v="1"/>
    <n v="10"/>
    <n v="34356.199999999997"/>
    <n v="0"/>
  </r>
  <r>
    <n v="-3"/>
    <x v="0"/>
    <n v="3"/>
    <m/>
    <s v="VIGAS BALDRAMES"/>
    <n v="36.229999999999997"/>
    <s v="M³"/>
    <n v="0"/>
    <d v="2021-09-06T00:00:00"/>
    <d v="2021-09-13T00:00:00"/>
    <x v="2"/>
    <n v="5"/>
    <n v="70046.7"/>
    <m/>
  </r>
  <r>
    <s v="   3.1"/>
    <x v="1"/>
    <s v="FUND"/>
    <s v="VIGAS BALDRAMES"/>
    <s v="EST/ACAB-&gt;FUND"/>
    <n v="36.229999999999997"/>
    <s v="M³"/>
    <n v="0"/>
    <d v="2021-09-06T00:00:00"/>
    <d v="2021-09-13T00:00:00"/>
    <x v="2"/>
    <n v="5"/>
    <n v="70046.7"/>
    <n v="0"/>
  </r>
  <r>
    <n v="-4"/>
    <x v="0"/>
    <n v="4"/>
    <m/>
    <s v="INSTALAçõES ENTERRADAS"/>
    <n v="2"/>
    <s v="TORRE"/>
    <n v="0"/>
    <d v="2021-09-13T00:00:00"/>
    <d v="2021-09-20T00:00:00"/>
    <x v="3"/>
    <n v="5"/>
    <n v="350"/>
    <m/>
  </r>
  <r>
    <s v="   4.1"/>
    <x v="1"/>
    <s v="FUND"/>
    <s v="INSTALAçõES ENTERRADAS"/>
    <s v="EST/ACAB-&gt;FUND"/>
    <n v="2"/>
    <s v="TORRE"/>
    <n v="0"/>
    <d v="2021-09-13T00:00:00"/>
    <d v="2021-09-20T00:00:00"/>
    <x v="3"/>
    <n v="5"/>
    <n v="350"/>
    <n v="0"/>
  </r>
  <r>
    <n v="-5"/>
    <x v="0"/>
    <n v="5"/>
    <m/>
    <s v="CONTRAPISO"/>
    <n v="456.3"/>
    <s v="M²"/>
    <n v="0"/>
    <d v="2021-09-20T00:00:00"/>
    <d v="2021-09-27T00:00:00"/>
    <x v="4"/>
    <n v="5"/>
    <n v="34912.199999999997"/>
    <m/>
  </r>
  <r>
    <s v="   5.1"/>
    <x v="1"/>
    <s v="FUND"/>
    <s v="CONTRAPISO"/>
    <s v="EST/ACAB-&gt;FUND"/>
    <n v="456.3"/>
    <s v="M²"/>
    <n v="0"/>
    <d v="2021-09-20T00:00:00"/>
    <d v="2021-09-27T00:00:00"/>
    <x v="4"/>
    <n v="5"/>
    <n v="34912.199999999997"/>
    <n v="0"/>
  </r>
  <r>
    <n v="-6"/>
    <x v="0"/>
    <n v="6"/>
    <m/>
    <s v="ALVENARIA ESTRUTURAL"/>
    <n v="1684.46"/>
    <s v="M³"/>
    <n v="0"/>
    <d v="2021-09-27T00:00:00"/>
    <d v="2021-12-03T00:00:00"/>
    <x v="5"/>
    <n v="25"/>
    <n v="407381.7"/>
    <m/>
  </r>
  <r>
    <s v="   6.5"/>
    <x v="1"/>
    <s v="COB"/>
    <s v="ALVENARIA ESTRUTURAL"/>
    <s v="EST/ACAB-&gt;COB"/>
    <n v="83.84"/>
    <s v="M³"/>
    <n v="0"/>
    <d v="2021-11-26T00:00:00"/>
    <d v="2021-12-03T00:00:00"/>
    <x v="5"/>
    <n v="5"/>
    <n v="19719.7"/>
    <n v="0"/>
  </r>
  <r>
    <s v="   6.1"/>
    <x v="1"/>
    <s v="PAV 1"/>
    <s v="ALVENARIA ESTRUTURAL"/>
    <s v="EST/ACAB-&gt;PAV 1"/>
    <n v="399.29"/>
    <s v="M³"/>
    <n v="0"/>
    <d v="2021-09-27T00:00:00"/>
    <d v="2021-10-04T00:00:00"/>
    <x v="6"/>
    <n v="5"/>
    <n v="96711"/>
    <n v="0"/>
  </r>
  <r>
    <s v="   6.2"/>
    <x v="1"/>
    <s v="PAV 2"/>
    <s v="ALVENARIA ESTRUTURAL"/>
    <s v="EST/ACAB-&gt;PAV 2"/>
    <n v="400.44"/>
    <s v="M³"/>
    <n v="0"/>
    <d v="2021-10-12T00:00:00"/>
    <d v="2021-10-19T00:00:00"/>
    <x v="7"/>
    <n v="5"/>
    <n v="96983.7"/>
    <n v="0"/>
  </r>
  <r>
    <s v="   6.3"/>
    <x v="1"/>
    <s v="PAV 3"/>
    <s v="ALVENARIA ESTRUTURAL"/>
    <s v="EST/ACAB-&gt;PAV 3"/>
    <n v="400.44"/>
    <s v="M³"/>
    <n v="0"/>
    <d v="2021-10-26T00:00:00"/>
    <d v="2021-11-03T00:00:00"/>
    <x v="8"/>
    <n v="5"/>
    <n v="96983.7"/>
    <n v="0"/>
  </r>
  <r>
    <s v="   6.4"/>
    <x v="1"/>
    <s v="PAV 4"/>
    <s v="ALVENARIA ESTRUTURAL"/>
    <s v="EST/ACAB-&gt;PAV 4"/>
    <n v="400.44"/>
    <s v="M³"/>
    <n v="0"/>
    <d v="2021-11-10T00:00:00"/>
    <d v="2021-11-18T00:00:00"/>
    <x v="9"/>
    <n v="5"/>
    <n v="96983.7"/>
    <n v="0"/>
  </r>
  <r>
    <n v="-7"/>
    <x v="0"/>
    <n v="7"/>
    <m/>
    <s v="ESTRUTURA MOLDADO IN LOCO"/>
    <n v="219.93"/>
    <s v="M³"/>
    <n v="0"/>
    <d v="2021-10-04T00:00:00"/>
    <d v="2021-11-26T00:00:00"/>
    <x v="10"/>
    <n v="20"/>
    <n v="262864.09999999998"/>
    <m/>
  </r>
  <r>
    <s v="   7.1"/>
    <x v="1"/>
    <s v="PAV 1"/>
    <s v="ESTRUTURA MOLDADO IN LOCO"/>
    <s v="EST/ACAB-&gt;PAV 1"/>
    <n v="55.49"/>
    <s v="M³"/>
    <n v="0"/>
    <d v="2021-10-04T00:00:00"/>
    <d v="2021-10-12T00:00:00"/>
    <x v="11"/>
    <n v="5"/>
    <n v="66451"/>
    <n v="0"/>
  </r>
  <r>
    <s v="   7.2"/>
    <x v="1"/>
    <s v="PAV 2"/>
    <s v="ESTRUTURA MOLDADO IN LOCO"/>
    <s v="EST/ACAB-&gt;PAV 2"/>
    <n v="55.49"/>
    <s v="M³"/>
    <n v="0"/>
    <d v="2021-10-19T00:00:00"/>
    <d v="2021-10-26T00:00:00"/>
    <x v="12"/>
    <n v="5"/>
    <n v="66451"/>
    <n v="0"/>
  </r>
  <r>
    <s v="   7.3"/>
    <x v="1"/>
    <s v="PAV 3"/>
    <s v="ESTRUTURA MOLDADO IN LOCO"/>
    <s v="EST/ACAB-&gt;PAV 3"/>
    <n v="55.49"/>
    <s v="M³"/>
    <n v="0"/>
    <d v="2021-11-03T00:00:00"/>
    <d v="2021-11-10T00:00:00"/>
    <x v="13"/>
    <n v="5"/>
    <n v="66451"/>
    <n v="0"/>
  </r>
  <r>
    <s v="   7.4"/>
    <x v="1"/>
    <s v="PAV 4"/>
    <s v="ESTRUTURA MOLDADO IN LOCO"/>
    <s v="EST/ACAB-&gt;PAV 4"/>
    <n v="53.46"/>
    <s v="M³"/>
    <n v="0"/>
    <d v="2021-11-18T00:00:00"/>
    <d v="2021-11-26T00:00:00"/>
    <x v="10"/>
    <n v="5"/>
    <n v="63511.1"/>
    <n v="0"/>
  </r>
  <r>
    <n v="-8"/>
    <x v="0"/>
    <n v="8"/>
    <m/>
    <s v="INSTALAçõES HIDROSSANITáRIAS"/>
    <n v="6"/>
    <s v="TORRE"/>
    <n v="0"/>
    <d v="2021-11-03T00:00:00"/>
    <d v="2021-12-09T00:00:00"/>
    <x v="14"/>
    <n v="24.8"/>
    <n v="53823.6"/>
    <m/>
  </r>
  <r>
    <s v="   8.6"/>
    <x v="1"/>
    <s v="COB"/>
    <s v="INSTALAçõES HIDROSSANITáRIAS"/>
    <s v="EST/ACAB-&gt;COB"/>
    <n v="0.33"/>
    <s v="TORRE"/>
    <n v="0"/>
    <d v="2021-12-03T00:00:00"/>
    <d v="2021-12-09T00:00:00"/>
    <x v="14"/>
    <n v="4.8"/>
    <n v="5770.6"/>
    <n v="0"/>
  </r>
  <r>
    <s v="   8.1"/>
    <x v="1"/>
    <s v="FUND"/>
    <s v="INSTALAçõES HIDROSSANITáRIAS"/>
    <s v="EST/ACAB-&gt;FUND"/>
    <n v="0.33"/>
    <s v="TORRE"/>
    <n v="0"/>
    <d v="2021-11-03T00:00:00"/>
    <d v="2021-11-03T00:00:00"/>
    <x v="8"/>
    <n v="0"/>
    <n v="5770.6"/>
    <n v="0"/>
  </r>
  <r>
    <s v="   8.2"/>
    <x v="1"/>
    <s v="PAV 1"/>
    <s v="INSTALAçõES HIDROSSANITáRIAS"/>
    <s v="EST/ACAB-&gt;PAV 1"/>
    <n v="1.33"/>
    <s v="TORRE"/>
    <n v="0"/>
    <d v="2021-11-03T00:00:00"/>
    <d v="2021-11-10T00:00:00"/>
    <x v="13"/>
    <n v="5"/>
    <n v="10570.6"/>
    <n v="0"/>
  </r>
  <r>
    <s v="   8.3"/>
    <x v="1"/>
    <s v="PAV 2"/>
    <s v="INSTALAçõES HIDROSSANITáRIAS"/>
    <s v="EST/ACAB-&gt;PAV 2"/>
    <n v="1.33"/>
    <s v="TORRE"/>
    <n v="0"/>
    <d v="2021-11-10T00:00:00"/>
    <d v="2021-11-18T00:00:00"/>
    <x v="9"/>
    <n v="5"/>
    <n v="10570.6"/>
    <n v="0"/>
  </r>
  <r>
    <s v="   8.4"/>
    <x v="1"/>
    <s v="PAV 3"/>
    <s v="INSTALAçõES HIDROSSANITáRIAS"/>
    <s v="EST/ACAB-&gt;PAV 3"/>
    <n v="1.33"/>
    <s v="TORRE"/>
    <n v="0"/>
    <d v="2021-11-18T00:00:00"/>
    <d v="2021-11-26T00:00:00"/>
    <x v="10"/>
    <n v="5"/>
    <n v="10570.6"/>
    <n v="0"/>
  </r>
  <r>
    <s v="   8.5"/>
    <x v="1"/>
    <s v="PAV 4"/>
    <s v="INSTALAçõES HIDROSSANITáRIAS"/>
    <s v="EST/ACAB-&gt;PAV 4"/>
    <n v="1.33"/>
    <s v="TORRE"/>
    <n v="0"/>
    <d v="2021-11-26T00:00:00"/>
    <d v="2021-12-03T00:00:00"/>
    <x v="5"/>
    <n v="5"/>
    <n v="10570.6"/>
    <n v="0"/>
  </r>
  <r>
    <n v="-9"/>
    <x v="0"/>
    <n v="9"/>
    <m/>
    <s v="REBOCO INTERNO"/>
    <n v="562.37"/>
    <s v="M²"/>
    <n v="0"/>
    <d v="2021-11-26T00:00:00"/>
    <d v="2021-12-24T00:00:00"/>
    <x v="15"/>
    <n v="20"/>
    <n v="14863.2"/>
    <m/>
  </r>
  <r>
    <s v="   9.1"/>
    <x v="1"/>
    <s v="PAV 1"/>
    <s v="REBOCO INTERNO"/>
    <s v="EST/ACAB-&gt;PAV 1"/>
    <n v="140.59"/>
    <s v="M²"/>
    <n v="0"/>
    <d v="2021-11-26T00:00:00"/>
    <d v="2021-12-03T00:00:00"/>
    <x v="5"/>
    <n v="5"/>
    <n v="3715.8"/>
    <n v="0"/>
  </r>
  <r>
    <s v="   9.2"/>
    <x v="1"/>
    <s v="PAV 2"/>
    <s v="REBOCO INTERNO"/>
    <s v="EST/ACAB-&gt;PAV 2"/>
    <n v="140.59"/>
    <s v="M²"/>
    <n v="0"/>
    <d v="2021-12-03T00:00:00"/>
    <d v="2021-12-10T00:00:00"/>
    <x v="14"/>
    <n v="5"/>
    <n v="3715.8"/>
    <n v="0"/>
  </r>
  <r>
    <s v="   9.3"/>
    <x v="1"/>
    <s v="PAV 3"/>
    <s v="REBOCO INTERNO"/>
    <s v="EST/ACAB-&gt;PAV 3"/>
    <n v="140.59"/>
    <s v="M²"/>
    <n v="0"/>
    <d v="2021-12-10T00:00:00"/>
    <d v="2021-12-17T00:00:00"/>
    <x v="16"/>
    <n v="5"/>
    <n v="3715.8"/>
    <n v="0"/>
  </r>
  <r>
    <s v="   9.4"/>
    <x v="1"/>
    <s v="PAV 4"/>
    <s v="REBOCO INTERNO"/>
    <s v="EST/ACAB-&gt;PAV 4"/>
    <n v="140.59"/>
    <s v="M²"/>
    <n v="0"/>
    <d v="2021-12-17T00:00:00"/>
    <d v="2021-12-24T00:00:00"/>
    <x v="15"/>
    <n v="5"/>
    <n v="3715.8"/>
    <n v="0"/>
  </r>
  <r>
    <n v="-10"/>
    <x v="0"/>
    <n v="10"/>
    <m/>
    <s v="SHAFT "/>
    <n v="85.54"/>
    <s v="M²"/>
    <n v="0"/>
    <d v="2021-12-16T00:00:00"/>
    <d v="2021-12-30T00:00:00"/>
    <x v="17"/>
    <n v="10"/>
    <n v="1710.8"/>
    <m/>
  </r>
  <r>
    <s v="   10.1"/>
    <x v="1"/>
    <s v="PAV 1"/>
    <s v="SHAFT "/>
    <s v="EST/ACAB-&gt;PAV 1"/>
    <n v="21.39"/>
    <s v="M²"/>
    <n v="0"/>
    <d v="2021-12-16T00:00:00"/>
    <d v="2021-12-21T00:00:00"/>
    <x v="15"/>
    <n v="2.5"/>
    <n v="427.7"/>
    <n v="0"/>
  </r>
  <r>
    <s v="   10.2"/>
    <x v="1"/>
    <s v="PAV 2"/>
    <s v="SHAFT "/>
    <s v="EST/ACAB-&gt;PAV 2"/>
    <n v="21.39"/>
    <s v="M²"/>
    <n v="0"/>
    <d v="2021-12-21T00:00:00"/>
    <d v="2021-12-23T00:00:00"/>
    <x v="15"/>
    <n v="2.5"/>
    <n v="427.7"/>
    <n v="0"/>
  </r>
  <r>
    <s v="   10.3"/>
    <x v="1"/>
    <s v="PAV 3"/>
    <s v="SHAFT "/>
    <s v="EST/ACAB-&gt;PAV 3"/>
    <n v="21.39"/>
    <s v="M²"/>
    <n v="0"/>
    <d v="2021-12-23T00:00:00"/>
    <d v="2021-12-28T00:00:00"/>
    <x v="17"/>
    <n v="2.5"/>
    <n v="427.7"/>
    <n v="0"/>
  </r>
  <r>
    <s v="   10.4"/>
    <x v="1"/>
    <s v="PAV 4"/>
    <s v="SHAFT "/>
    <s v="EST/ACAB-&gt;PAV 4"/>
    <n v="21.39"/>
    <s v="M²"/>
    <n v="0"/>
    <d v="2021-12-28T00:00:00"/>
    <d v="2021-12-30T00:00:00"/>
    <x v="17"/>
    <n v="2.5"/>
    <n v="427.7"/>
    <n v="0"/>
  </r>
  <r>
    <n v="-11"/>
    <x v="0"/>
    <n v="11"/>
    <m/>
    <s v="IMPERMEABILIZAçãO DO WC"/>
    <n v="24.33"/>
    <s v="M²"/>
    <n v="0"/>
    <d v="2021-12-21T00:00:00"/>
    <d v="2022-01-19T00:00:00"/>
    <x v="18"/>
    <n v="19.899999999999999"/>
    <n v="956.3"/>
    <m/>
  </r>
  <r>
    <s v="   11.1"/>
    <x v="1"/>
    <s v="FUND"/>
    <s v="IMPERMEABILIZAçãO DO WC"/>
    <s v="EST/ACAB-&gt;FUND"/>
    <n v="5.17"/>
    <s v="M²"/>
    <n v="0"/>
    <d v="2021-12-21T00:00:00"/>
    <d v="2021-12-21T00:00:00"/>
    <x v="15"/>
    <n v="0"/>
    <n v="203.1"/>
    <n v="0"/>
  </r>
  <r>
    <s v="   11.2"/>
    <x v="1"/>
    <s v="PAV 1"/>
    <s v="IMPERMEABILIZAçãO DO WC"/>
    <s v="EST/ACAB-&gt;PAV 1"/>
    <n v="6.08"/>
    <s v="M²"/>
    <n v="0"/>
    <d v="2021-12-21T00:00:00"/>
    <d v="2021-12-28T00:00:00"/>
    <x v="17"/>
    <n v="5"/>
    <n v="239.1"/>
    <n v="0"/>
  </r>
  <r>
    <s v="   11.3"/>
    <x v="1"/>
    <s v="PAV 2"/>
    <s v="IMPERMEABILIZAçãO DO WC"/>
    <s v="EST/ACAB-&gt;PAV 2"/>
    <n v="6.08"/>
    <s v="M²"/>
    <n v="0"/>
    <d v="2021-12-28T00:00:00"/>
    <d v="2022-01-04T00:00:00"/>
    <x v="19"/>
    <n v="5"/>
    <n v="239.1"/>
    <n v="0"/>
  </r>
  <r>
    <s v="   11.4"/>
    <x v="1"/>
    <s v="PAV 3"/>
    <s v="IMPERMEABILIZAçãO DO WC"/>
    <s v="EST/ACAB-&gt;PAV 3"/>
    <n v="6.08"/>
    <s v="M²"/>
    <n v="0"/>
    <d v="2022-01-04T00:00:00"/>
    <d v="2022-01-11T00:00:00"/>
    <x v="20"/>
    <n v="5"/>
    <n v="239.1"/>
    <n v="0"/>
  </r>
  <r>
    <s v="   11.5"/>
    <x v="1"/>
    <s v="PAV 4"/>
    <s v="IMPERMEABILIZAçãO DO WC"/>
    <s v="EST/ACAB-&gt;PAV 4"/>
    <n v="0.92"/>
    <s v="M²"/>
    <n v="0"/>
    <d v="2022-01-11T00:00:00"/>
    <d v="2022-01-19T00:00:00"/>
    <x v="18"/>
    <n v="5"/>
    <n v="36"/>
    <n v="0"/>
  </r>
  <r>
    <n v="-12"/>
    <x v="0"/>
    <n v="12"/>
    <m/>
    <s v="CERâMICA APTOS"/>
    <n v="2693.28"/>
    <s v="M²"/>
    <n v="0"/>
    <d v="2022-01-04T00:00:00"/>
    <d v="2022-02-02T00:00:00"/>
    <x v="21"/>
    <n v="20"/>
    <n v="81742.7"/>
    <m/>
  </r>
  <r>
    <s v="   12.1"/>
    <x v="1"/>
    <s v="PAV 1"/>
    <s v="CERâMICA APTOS"/>
    <s v="EST/ACAB-&gt;PAV 1"/>
    <n v="673.38"/>
    <s v="M²"/>
    <n v="0"/>
    <d v="2022-01-04T00:00:00"/>
    <d v="2022-01-11T00:00:00"/>
    <x v="20"/>
    <n v="5"/>
    <n v="20437.400000000001"/>
    <n v="0"/>
  </r>
  <r>
    <s v="   12.2"/>
    <x v="1"/>
    <s v="PAV 2"/>
    <s v="CERâMICA APTOS"/>
    <s v="EST/ACAB-&gt;PAV 2"/>
    <n v="673.38"/>
    <s v="M²"/>
    <n v="0"/>
    <d v="2022-01-11T00:00:00"/>
    <d v="2022-01-19T00:00:00"/>
    <x v="18"/>
    <n v="5"/>
    <n v="20437.400000000001"/>
    <n v="0"/>
  </r>
  <r>
    <s v="   12.3"/>
    <x v="1"/>
    <s v="PAV 3"/>
    <s v="CERâMICA APTOS"/>
    <s v="EST/ACAB-&gt;PAV 3"/>
    <n v="673.15"/>
    <s v="M²"/>
    <n v="0"/>
    <d v="2022-01-19T00:00:00"/>
    <d v="2022-01-26T00:00:00"/>
    <x v="22"/>
    <n v="5"/>
    <n v="20430.599999999999"/>
    <n v="0"/>
  </r>
  <r>
    <s v="   12.4"/>
    <x v="1"/>
    <s v="PAV 4"/>
    <s v="CERâMICA APTOS"/>
    <s v="EST/ACAB-&gt;PAV 4"/>
    <n v="673.38"/>
    <s v="M²"/>
    <n v="0"/>
    <d v="2022-01-26T00:00:00"/>
    <d v="2022-02-02T00:00:00"/>
    <x v="21"/>
    <n v="5"/>
    <n v="20437.400000000001"/>
    <n v="0"/>
  </r>
  <r>
    <n v="-13"/>
    <x v="0"/>
    <n v="13"/>
    <m/>
    <s v="GESSO LISO"/>
    <n v="1789.8"/>
    <s v="M²"/>
    <n v="0"/>
    <d v="2022-01-19T00:00:00"/>
    <d v="2022-02-16T00:00:00"/>
    <x v="23"/>
    <n v="20"/>
    <n v="27245.1"/>
    <m/>
  </r>
  <r>
    <s v="   13.1"/>
    <x v="1"/>
    <s v="PAV 1"/>
    <s v="GESSO LISO"/>
    <s v="EST/ACAB-&gt;PAV 1"/>
    <n v="446.62"/>
    <s v="M²"/>
    <n v="0"/>
    <d v="2022-01-19T00:00:00"/>
    <d v="2022-01-26T00:00:00"/>
    <x v="22"/>
    <n v="5"/>
    <n v="6798.7"/>
    <n v="0"/>
  </r>
  <r>
    <s v="   13.2"/>
    <x v="1"/>
    <s v="PAV 2"/>
    <s v="GESSO LISO"/>
    <s v="EST/ACAB-&gt;PAV 2"/>
    <n v="447.73"/>
    <s v="M²"/>
    <n v="0"/>
    <d v="2022-01-26T00:00:00"/>
    <d v="2022-02-02T00:00:00"/>
    <x v="21"/>
    <n v="5"/>
    <n v="6815.5"/>
    <n v="0"/>
  </r>
  <r>
    <s v="   13.3"/>
    <x v="1"/>
    <s v="PAV 3"/>
    <s v="GESSO LISO"/>
    <s v="EST/ACAB-&gt;PAV 3"/>
    <n v="447.73"/>
    <s v="M²"/>
    <n v="0"/>
    <d v="2022-02-02T00:00:00"/>
    <d v="2022-02-09T00:00:00"/>
    <x v="24"/>
    <n v="5"/>
    <n v="6815.5"/>
    <n v="0"/>
  </r>
  <r>
    <s v="   13.4"/>
    <x v="1"/>
    <s v="PAV 4"/>
    <s v="GESSO LISO"/>
    <s v="EST/ACAB-&gt;PAV 4"/>
    <n v="447.73"/>
    <s v="M²"/>
    <n v="0"/>
    <d v="2022-02-09T00:00:00"/>
    <d v="2022-02-16T00:00:00"/>
    <x v="23"/>
    <n v="5"/>
    <n v="6815.5"/>
    <n v="0"/>
  </r>
  <r>
    <n v="-14"/>
    <x v="0"/>
    <n v="14"/>
    <m/>
    <s v="ESQUADRIA DE ALUMINIO"/>
    <n v="84"/>
    <s v="UN"/>
    <n v="0"/>
    <d v="2022-01-26T00:00:00"/>
    <d v="2022-02-24T00:00:00"/>
    <x v="25"/>
    <n v="20"/>
    <n v="106000"/>
    <m/>
  </r>
  <r>
    <s v="   14.1"/>
    <x v="1"/>
    <s v="PAV 1"/>
    <s v="ESQUADRIA DE ALUMINIO"/>
    <s v="EST/ACAB-&gt;PAV 1"/>
    <n v="21"/>
    <s v="UN"/>
    <n v="0"/>
    <d v="2022-01-26T00:00:00"/>
    <d v="2022-02-02T00:00:00"/>
    <x v="21"/>
    <n v="5"/>
    <n v="26500"/>
    <n v="0"/>
  </r>
  <r>
    <s v="   14.2"/>
    <x v="1"/>
    <s v="PAV 2"/>
    <s v="ESQUADRIA DE ALUMINIO"/>
    <s v="EST/ACAB-&gt;PAV 2"/>
    <n v="21"/>
    <s v="UN"/>
    <n v="0"/>
    <d v="2022-02-02T00:00:00"/>
    <d v="2022-02-09T00:00:00"/>
    <x v="24"/>
    <n v="5"/>
    <n v="26500"/>
    <n v="0"/>
  </r>
  <r>
    <s v="   14.3"/>
    <x v="1"/>
    <s v="PAV 3"/>
    <s v="ESQUADRIA DE ALUMINIO"/>
    <s v="EST/ACAB-&gt;PAV 3"/>
    <n v="21"/>
    <s v="UN"/>
    <n v="0"/>
    <d v="2022-02-09T00:00:00"/>
    <d v="2022-02-16T00:00:00"/>
    <x v="23"/>
    <n v="5"/>
    <n v="26500"/>
    <n v="0"/>
  </r>
  <r>
    <s v="   14.4"/>
    <x v="1"/>
    <s v="PAV 4"/>
    <s v="ESQUADRIA DE ALUMINIO"/>
    <s v="EST/ACAB-&gt;PAV 4"/>
    <n v="21"/>
    <s v="UN"/>
    <n v="0"/>
    <d v="2022-02-16T00:00:00"/>
    <d v="2022-02-24T00:00:00"/>
    <x v="25"/>
    <n v="5"/>
    <n v="26500"/>
    <n v="0"/>
  </r>
  <r>
    <n v="-15"/>
    <x v="0"/>
    <n v="15"/>
    <m/>
    <s v="FIAçãO"/>
    <n v="16"/>
    <s v="APTO"/>
    <n v="0"/>
    <d v="2022-02-02T00:00:00"/>
    <d v="2022-03-03T00:00:00"/>
    <x v="26"/>
    <n v="20"/>
    <n v="20538.099999999999"/>
    <m/>
  </r>
  <r>
    <s v="   15.1"/>
    <x v="1"/>
    <s v="PAV 1"/>
    <s v="FIAçãO"/>
    <s v="EST/ACAB-&gt;PAV 1"/>
    <n v="4"/>
    <s v="APTO"/>
    <n v="0"/>
    <d v="2022-02-02T00:00:00"/>
    <d v="2022-02-09T00:00:00"/>
    <x v="24"/>
    <n v="5"/>
    <n v="5130.3"/>
    <n v="0"/>
  </r>
  <r>
    <s v="   15.2"/>
    <x v="1"/>
    <s v="PAV 2"/>
    <s v="FIAçãO"/>
    <s v="EST/ACAB-&gt;PAV 2"/>
    <n v="4"/>
    <s v="APTO"/>
    <n v="0"/>
    <d v="2022-02-09T00:00:00"/>
    <d v="2022-02-16T00:00:00"/>
    <x v="23"/>
    <n v="5"/>
    <n v="5135.8999999999996"/>
    <n v="0"/>
  </r>
  <r>
    <s v="   15.3"/>
    <x v="1"/>
    <s v="PAV 3"/>
    <s v="FIAçãO"/>
    <s v="EST/ACAB-&gt;PAV 3"/>
    <n v="4"/>
    <s v="APTO"/>
    <n v="0"/>
    <d v="2022-02-16T00:00:00"/>
    <d v="2022-02-24T00:00:00"/>
    <x v="25"/>
    <n v="5"/>
    <n v="5135.8999999999996"/>
    <n v="0"/>
  </r>
  <r>
    <s v="   15.4"/>
    <x v="1"/>
    <s v="PAV 4"/>
    <s v="FIAçãO"/>
    <s v="EST/ACAB-&gt;PAV 4"/>
    <n v="4"/>
    <s v="APTO"/>
    <n v="0"/>
    <d v="2022-02-24T00:00:00"/>
    <d v="2022-03-03T00:00:00"/>
    <x v="26"/>
    <n v="5"/>
    <n v="5135.8999999999996"/>
    <n v="0"/>
  </r>
  <r>
    <n v="-16"/>
    <x v="0"/>
    <n v="16"/>
    <m/>
    <s v="FORRO"/>
    <n v="234.3"/>
    <s v="M²"/>
    <n v="0"/>
    <d v="2022-02-16T00:00:00"/>
    <d v="2022-03-17T00:00:00"/>
    <x v="27"/>
    <n v="20"/>
    <n v="9190"/>
    <m/>
  </r>
  <r>
    <s v="   16.1"/>
    <x v="1"/>
    <s v="PAV 1"/>
    <s v="FORRO"/>
    <s v="EST/ACAB-&gt;PAV 1"/>
    <n v="58.58"/>
    <s v="M²"/>
    <n v="0"/>
    <d v="2022-02-16T00:00:00"/>
    <d v="2022-02-24T00:00:00"/>
    <x v="25"/>
    <n v="5"/>
    <n v="2297.5"/>
    <n v="0"/>
  </r>
  <r>
    <s v="   16.2"/>
    <x v="1"/>
    <s v="PAV 2"/>
    <s v="FORRO"/>
    <s v="EST/ACAB-&gt;PAV 2"/>
    <n v="58.58"/>
    <s v="M²"/>
    <n v="0"/>
    <d v="2022-02-24T00:00:00"/>
    <d v="2022-03-03T00:00:00"/>
    <x v="26"/>
    <n v="5"/>
    <n v="2297.5"/>
    <n v="0"/>
  </r>
  <r>
    <s v="   16.3"/>
    <x v="1"/>
    <s v="PAV 3"/>
    <s v="FORRO"/>
    <s v="EST/ACAB-&gt;PAV 3"/>
    <n v="58.58"/>
    <s v="M²"/>
    <n v="0"/>
    <d v="2022-03-03T00:00:00"/>
    <d v="2022-03-10T00:00:00"/>
    <x v="28"/>
    <n v="5"/>
    <n v="2297.5"/>
    <n v="0"/>
  </r>
  <r>
    <s v="   16.4"/>
    <x v="1"/>
    <s v="PAV 4"/>
    <s v="FORRO"/>
    <s v="EST/ACAB-&gt;PAV 4"/>
    <n v="58.58"/>
    <s v="M²"/>
    <n v="0"/>
    <d v="2022-03-10T00:00:00"/>
    <d v="2022-03-17T00:00:00"/>
    <x v="27"/>
    <n v="5"/>
    <n v="2297.5"/>
    <n v="0"/>
  </r>
  <r>
    <n v="-17"/>
    <x v="0"/>
    <n v="17"/>
    <m/>
    <s v="DISJUNTORES E CD"/>
    <n v="16"/>
    <s v="APTO"/>
    <n v="0"/>
    <d v="2022-02-24T00:00:00"/>
    <d v="2022-03-24T00:00:00"/>
    <x v="29"/>
    <n v="20"/>
    <n v="5600"/>
    <m/>
  </r>
  <r>
    <s v="   17.1"/>
    <x v="1"/>
    <s v="PAV 1"/>
    <s v="DISJUNTORES E CD"/>
    <s v="EST/ACAB-&gt;PAV 1"/>
    <n v="4"/>
    <s v="APTO"/>
    <n v="0"/>
    <d v="2022-02-24T00:00:00"/>
    <d v="2022-03-03T00:00:00"/>
    <x v="26"/>
    <n v="5"/>
    <n v="1400"/>
    <n v="0"/>
  </r>
  <r>
    <s v="   17.2"/>
    <x v="1"/>
    <s v="PAV 2"/>
    <s v="DISJUNTORES E CD"/>
    <s v="EST/ACAB-&gt;PAV 2"/>
    <n v="4"/>
    <s v="APTO"/>
    <n v="0"/>
    <d v="2022-03-03T00:00:00"/>
    <d v="2022-03-10T00:00:00"/>
    <x v="28"/>
    <n v="5"/>
    <n v="1400"/>
    <n v="0"/>
  </r>
  <r>
    <s v="   17.3"/>
    <x v="1"/>
    <s v="PAV 3"/>
    <s v="DISJUNTORES E CD"/>
    <s v="EST/ACAB-&gt;PAV 3"/>
    <n v="4"/>
    <s v="APTO"/>
    <n v="0"/>
    <d v="2022-03-10T00:00:00"/>
    <d v="2022-03-17T00:00:00"/>
    <x v="27"/>
    <n v="5"/>
    <n v="1400"/>
    <n v="0"/>
  </r>
  <r>
    <s v="   17.4"/>
    <x v="1"/>
    <s v="PAV 4"/>
    <s v="DISJUNTORES E CD"/>
    <s v="EST/ACAB-&gt;PAV 4"/>
    <n v="4"/>
    <s v="APTO"/>
    <n v="0"/>
    <d v="2022-03-17T00:00:00"/>
    <d v="2022-03-24T00:00:00"/>
    <x v="29"/>
    <n v="5"/>
    <n v="1400"/>
    <n v="0"/>
  </r>
  <r>
    <n v="-18"/>
    <x v="0"/>
    <n v="18"/>
    <m/>
    <s v="REVESTIMENTO DA CIRCULAçãO"/>
    <n v="311.93"/>
    <s v="M²"/>
    <n v="0"/>
    <d v="2022-02-24T00:00:00"/>
    <d v="2022-03-24T00:00:00"/>
    <x v="29"/>
    <n v="20"/>
    <n v="14469.2"/>
    <m/>
  </r>
  <r>
    <s v="   18.1"/>
    <x v="1"/>
    <s v="PAV 1"/>
    <s v="REVESTIMENTO DA CIRCULAçãO"/>
    <s v="EST/ACAB-&gt;PAV 1"/>
    <n v="106.44"/>
    <s v="M²"/>
    <n v="0"/>
    <d v="2022-02-24T00:00:00"/>
    <d v="2022-03-03T00:00:00"/>
    <x v="26"/>
    <n v="5"/>
    <n v="4908.7"/>
    <n v="0"/>
  </r>
  <r>
    <s v="   18.2"/>
    <x v="1"/>
    <s v="PAV 2"/>
    <s v="REVESTIMENTO DA CIRCULAçãO"/>
    <s v="EST/ACAB-&gt;PAV 2"/>
    <n v="77.150000000000006"/>
    <s v="M²"/>
    <n v="0"/>
    <d v="2022-03-03T00:00:00"/>
    <d v="2022-03-10T00:00:00"/>
    <x v="28"/>
    <n v="5"/>
    <n v="3892.2"/>
    <n v="0"/>
  </r>
  <r>
    <s v="   18.3"/>
    <x v="1"/>
    <s v="PAV 3"/>
    <s v="REVESTIMENTO DA CIRCULAçãO"/>
    <s v="EST/ACAB-&gt;PAV 3"/>
    <n v="77.150000000000006"/>
    <s v="M²"/>
    <n v="0"/>
    <d v="2022-03-10T00:00:00"/>
    <d v="2022-03-17T00:00:00"/>
    <x v="27"/>
    <n v="5"/>
    <n v="3892.2"/>
    <n v="0"/>
  </r>
  <r>
    <s v="   18.4"/>
    <x v="1"/>
    <s v="PAV 4"/>
    <s v="REVESTIMENTO DA CIRCULAçãO"/>
    <s v="EST/ACAB-&gt;PAV 4"/>
    <n v="51.19"/>
    <s v="M²"/>
    <n v="0"/>
    <d v="2022-03-17T00:00:00"/>
    <d v="2022-03-24T00:00:00"/>
    <x v="29"/>
    <n v="5"/>
    <n v="1776.1"/>
    <n v="0"/>
  </r>
  <r>
    <n v="-19"/>
    <x v="0"/>
    <n v="19"/>
    <m/>
    <s v="PINTURA INTERNA - 1ªDMãO"/>
    <n v="2458.25"/>
    <s v="M²"/>
    <n v="0"/>
    <d v="2022-03-03T00:00:00"/>
    <d v="2022-03-31T00:00:00"/>
    <x v="30"/>
    <n v="20"/>
    <n v="59198.6"/>
    <m/>
  </r>
  <r>
    <s v="   19.1"/>
    <x v="1"/>
    <s v="PAV 1"/>
    <s v="PINTURA INTERNA - 1ªDMãO"/>
    <s v="EST/ACAB-&gt;PAV 1"/>
    <n v="613.75"/>
    <s v="M²"/>
    <n v="0"/>
    <d v="2022-03-03T00:00:00"/>
    <d v="2022-03-10T00:00:00"/>
    <x v="28"/>
    <n v="5"/>
    <n v="14782.4"/>
    <n v="0"/>
  </r>
  <r>
    <s v="   19.2"/>
    <x v="1"/>
    <s v="PAV 2"/>
    <s v="PINTURA INTERNA - 1ªDMãO"/>
    <s v="EST/ACAB-&gt;PAV 2"/>
    <n v="614.85"/>
    <s v="M²"/>
    <n v="0"/>
    <d v="2022-03-10T00:00:00"/>
    <d v="2022-03-17T00:00:00"/>
    <x v="27"/>
    <n v="5"/>
    <n v="14806.1"/>
    <n v="0"/>
  </r>
  <r>
    <s v="   19.3"/>
    <x v="1"/>
    <s v="PAV 3"/>
    <s v="PINTURA INTERNA - 1ªDMãO"/>
    <s v="EST/ACAB-&gt;PAV 3"/>
    <n v="614.85"/>
    <s v="M²"/>
    <n v="0"/>
    <d v="2022-03-17T00:00:00"/>
    <d v="2022-03-24T00:00:00"/>
    <x v="29"/>
    <n v="5"/>
    <n v="14806.1"/>
    <n v="0"/>
  </r>
  <r>
    <s v="   19.4"/>
    <x v="1"/>
    <s v="PAV 4"/>
    <s v="PINTURA INTERNA - 1ªDMãO"/>
    <s v="EST/ACAB-&gt;PAV 4"/>
    <n v="614.79"/>
    <s v="M²"/>
    <n v="0"/>
    <d v="2022-03-24T00:00:00"/>
    <d v="2022-03-31T00:00:00"/>
    <x v="30"/>
    <n v="5"/>
    <n v="14804"/>
    <n v="0"/>
  </r>
  <r>
    <n v="-20"/>
    <x v="0"/>
    <n v="20"/>
    <m/>
    <s v="ESQUADRIAS DE FERRO"/>
    <n v="16.7"/>
    <s v="M"/>
    <n v="0"/>
    <d v="2022-03-22T00:00:00"/>
    <d v="2022-03-25T00:00:00"/>
    <x v="29"/>
    <n v="3"/>
    <n v="8216.1"/>
    <m/>
  </r>
  <r>
    <s v="   20.1"/>
    <x v="1"/>
    <s v="PAV 2"/>
    <s v="ESQUADRIAS DE FERRO"/>
    <s v="EST/ACAB-&gt;PAV 2"/>
    <n v="5.57"/>
    <s v="M"/>
    <n v="0"/>
    <d v="2022-03-22T00:00:00"/>
    <d v="2022-03-23T00:00:00"/>
    <x v="29"/>
    <n v="1"/>
    <n v="2738.7"/>
    <n v="0"/>
  </r>
  <r>
    <s v="   20.2"/>
    <x v="1"/>
    <s v="PAV 3"/>
    <s v="ESQUADRIAS DE FERRO"/>
    <s v="EST/ACAB-&gt;PAV 3"/>
    <n v="5.57"/>
    <s v="M"/>
    <n v="0"/>
    <d v="2022-03-23T00:00:00"/>
    <d v="2022-03-24T00:00:00"/>
    <x v="29"/>
    <n v="1"/>
    <n v="2738.7"/>
    <n v="0"/>
  </r>
  <r>
    <s v="   20.3"/>
    <x v="1"/>
    <s v="PAV 4"/>
    <s v="ESQUADRIAS DE FERRO"/>
    <s v="EST/ACAB-&gt;PAV 4"/>
    <n v="5.57"/>
    <s v="M"/>
    <n v="0"/>
    <d v="2022-03-24T00:00:00"/>
    <d v="2022-03-25T00:00:00"/>
    <x v="29"/>
    <n v="1"/>
    <n v="2738.7"/>
    <n v="0"/>
  </r>
  <r>
    <n v="-21"/>
    <x v="0"/>
    <n v="21"/>
    <m/>
    <s v="LOUçAS"/>
    <n v="128"/>
    <s v="TORRE"/>
    <n v="0"/>
    <d v="2022-03-10T00:00:00"/>
    <d v="2022-04-07T00:00:00"/>
    <x v="31"/>
    <n v="20"/>
    <n v="20944.099999999999"/>
    <m/>
  </r>
  <r>
    <s v="   21.1"/>
    <x v="1"/>
    <s v="PAV 1"/>
    <s v="LOUçAS"/>
    <s v="EST/ACAB-&gt;PAV 1"/>
    <n v="32"/>
    <s v="TORRE"/>
    <n v="0"/>
    <d v="2022-03-10T00:00:00"/>
    <d v="2022-03-17T00:00:00"/>
    <x v="27"/>
    <n v="5"/>
    <n v="5236"/>
    <n v="0"/>
  </r>
  <r>
    <s v="   21.2"/>
    <x v="1"/>
    <s v="PAV 2"/>
    <s v="LOUçAS"/>
    <s v="EST/ACAB-&gt;PAV 2"/>
    <n v="32"/>
    <s v="TORRE"/>
    <n v="0"/>
    <d v="2022-03-17T00:00:00"/>
    <d v="2022-03-24T00:00:00"/>
    <x v="29"/>
    <n v="5"/>
    <n v="5236"/>
    <n v="0"/>
  </r>
  <r>
    <s v="   21.3"/>
    <x v="1"/>
    <s v="PAV 3"/>
    <s v="LOUçAS"/>
    <s v="EST/ACAB-&gt;PAV 3"/>
    <n v="32"/>
    <s v="TORRE"/>
    <n v="0"/>
    <d v="2022-03-24T00:00:00"/>
    <d v="2022-03-31T00:00:00"/>
    <x v="30"/>
    <n v="5"/>
    <n v="5236"/>
    <n v="0"/>
  </r>
  <r>
    <s v="   21.4"/>
    <x v="1"/>
    <s v="PAV 4"/>
    <s v="LOUçAS"/>
    <s v="EST/ACAB-&gt;PAV 4"/>
    <n v="32"/>
    <s v="TORRE"/>
    <n v="0"/>
    <d v="2022-03-31T00:00:00"/>
    <d v="2022-04-07T00:00:00"/>
    <x v="31"/>
    <n v="5"/>
    <n v="5236"/>
    <n v="0"/>
  </r>
  <r>
    <n v="-22"/>
    <x v="0"/>
    <n v="22"/>
    <m/>
    <s v="PISO VINILICO"/>
    <n v="647.01"/>
    <s v="M²"/>
    <n v="0"/>
    <d v="2022-04-07T00:00:00"/>
    <d v="2022-05-05T00:00:00"/>
    <x v="32"/>
    <n v="20"/>
    <n v="52685"/>
    <m/>
  </r>
  <r>
    <s v="   22.1"/>
    <x v="1"/>
    <s v="PAV 1"/>
    <s v="PISO VINILICO"/>
    <s v="EST/ACAB-&gt;PAV 1"/>
    <n v="161.75"/>
    <s v="M²"/>
    <n v="0"/>
    <d v="2022-04-07T00:00:00"/>
    <d v="2022-04-14T00:00:00"/>
    <x v="33"/>
    <n v="5"/>
    <n v="13171.3"/>
    <n v="0"/>
  </r>
  <r>
    <s v="   22.2"/>
    <x v="1"/>
    <s v="PAV 2"/>
    <s v="PISO VINILICO"/>
    <s v="EST/ACAB-&gt;PAV 2"/>
    <n v="161.75"/>
    <s v="M²"/>
    <n v="0"/>
    <d v="2022-04-14T00:00:00"/>
    <d v="2022-04-21T00:00:00"/>
    <x v="34"/>
    <n v="5"/>
    <n v="13171.3"/>
    <n v="0"/>
  </r>
  <r>
    <s v="   22.3"/>
    <x v="1"/>
    <s v="PAV 3"/>
    <s v="PISO VINILICO"/>
    <s v="EST/ACAB-&gt;PAV 3"/>
    <n v="161.75"/>
    <s v="M²"/>
    <n v="0"/>
    <d v="2022-04-21T00:00:00"/>
    <d v="2022-04-28T00:00:00"/>
    <x v="35"/>
    <n v="5"/>
    <n v="13171.3"/>
    <n v="0"/>
  </r>
  <r>
    <s v="   22.4"/>
    <x v="1"/>
    <s v="PAV 4"/>
    <s v="PISO VINILICO"/>
    <s v="EST/ACAB-&gt;PAV 4"/>
    <n v="161.75"/>
    <s v="M²"/>
    <n v="0"/>
    <d v="2022-04-28T00:00:00"/>
    <d v="2022-05-05T00:00:00"/>
    <x v="32"/>
    <n v="5"/>
    <n v="13171.3"/>
    <n v="0"/>
  </r>
  <r>
    <n v="-30"/>
    <x v="0"/>
    <n v="23"/>
    <m/>
    <s v="PORTAS DE MADEIRA"/>
    <n v="80"/>
    <s v="UN"/>
    <n v="0"/>
    <d v="2022-03-31T00:00:00"/>
    <d v="2022-04-14T00:00:00"/>
    <x v="33"/>
    <n v="10"/>
    <n v="41600"/>
    <m/>
  </r>
  <r>
    <s v="   30.1"/>
    <x v="1"/>
    <s v="PAV 1"/>
    <s v="PORTAS DE MADEIRA"/>
    <s v="EST/ACAB-&gt;PAV 1"/>
    <n v="20"/>
    <s v="UN"/>
    <n v="0"/>
    <d v="2022-03-31T00:00:00"/>
    <d v="2022-04-04T00:00:00"/>
    <x v="31"/>
    <n v="2.5"/>
    <n v="10400"/>
    <n v="0"/>
  </r>
  <r>
    <s v="   30.2"/>
    <x v="1"/>
    <s v="PAV 2"/>
    <s v="PORTAS DE MADEIRA"/>
    <s v="EST/ACAB-&gt;PAV 2"/>
    <n v="20"/>
    <s v="UN"/>
    <n v="0"/>
    <d v="2022-04-04T00:00:00"/>
    <d v="2022-04-07T00:00:00"/>
    <x v="31"/>
    <n v="2.5"/>
    <n v="10400"/>
    <n v="0"/>
  </r>
  <r>
    <s v="   30.3"/>
    <x v="1"/>
    <s v="PAV 3"/>
    <s v="PORTAS DE MADEIRA"/>
    <s v="EST/ACAB-&gt;PAV 3"/>
    <n v="20"/>
    <s v="UN"/>
    <n v="0"/>
    <d v="2022-04-07T00:00:00"/>
    <d v="2022-04-11T00:00:00"/>
    <x v="33"/>
    <n v="2.5"/>
    <n v="10400"/>
    <n v="0"/>
  </r>
  <r>
    <s v="   30.4"/>
    <x v="1"/>
    <s v="PAV 4"/>
    <s v="PORTAS DE MADEIRA"/>
    <s v="EST/ACAB-&gt;PAV 4"/>
    <n v="20"/>
    <s v="UN"/>
    <n v="0"/>
    <d v="2022-04-11T00:00:00"/>
    <d v="2022-04-14T00:00:00"/>
    <x v="33"/>
    <n v="2.5"/>
    <n v="10400"/>
    <n v="0"/>
  </r>
  <r>
    <n v="-23"/>
    <x v="0"/>
    <n v="24"/>
    <m/>
    <s v="METAIS "/>
    <n v="96"/>
    <s v="TORRE"/>
    <n v="0"/>
    <d v="2022-04-25T00:00:00"/>
    <d v="2022-05-09T00:00:00"/>
    <x v="36"/>
    <n v="10"/>
    <n v="5360.2"/>
    <m/>
  </r>
  <r>
    <s v="   23.1"/>
    <x v="1"/>
    <s v="PAV 1"/>
    <s v="METAIS "/>
    <s v="EST/ACAB-&gt;PAV 1"/>
    <n v="24"/>
    <s v="TORRE"/>
    <n v="0"/>
    <d v="2022-04-25T00:00:00"/>
    <d v="2022-04-28T00:00:00"/>
    <x v="35"/>
    <n v="2.5"/>
    <n v="1340"/>
    <n v="0"/>
  </r>
  <r>
    <s v="   23.2"/>
    <x v="1"/>
    <s v="PAV 2"/>
    <s v="METAIS "/>
    <s v="EST/ACAB-&gt;PAV 2"/>
    <n v="24"/>
    <s v="TORRE"/>
    <n v="0"/>
    <d v="2022-04-28T00:00:00"/>
    <d v="2022-05-02T00:00:00"/>
    <x v="32"/>
    <n v="2.5"/>
    <n v="1340"/>
    <n v="0"/>
  </r>
  <r>
    <s v="   23.3"/>
    <x v="1"/>
    <s v="PAV 3"/>
    <s v="METAIS "/>
    <s v="EST/ACAB-&gt;PAV 3"/>
    <n v="24"/>
    <s v="TORRE"/>
    <n v="0"/>
    <d v="2022-05-02T00:00:00"/>
    <d v="2022-05-05T00:00:00"/>
    <x v="32"/>
    <n v="2.5"/>
    <n v="1340"/>
    <n v="0"/>
  </r>
  <r>
    <s v="   23.4"/>
    <x v="1"/>
    <s v="PAV 4"/>
    <s v="METAIS "/>
    <s v="EST/ACAB-&gt;PAV 4"/>
    <n v="24"/>
    <s v="TORRE"/>
    <n v="0"/>
    <d v="2022-05-05T00:00:00"/>
    <d v="2022-05-09T00:00:00"/>
    <x v="36"/>
    <n v="2.5"/>
    <n v="1340"/>
    <n v="0"/>
  </r>
  <r>
    <n v="-24"/>
    <x v="0"/>
    <n v="26"/>
    <m/>
    <s v="PINTURA FINAL"/>
    <n v="2458.25"/>
    <s v="M²"/>
    <n v="0"/>
    <d v="2022-04-28T00:00:00"/>
    <d v="2022-05-26T00:00:00"/>
    <x v="37"/>
    <n v="20"/>
    <n v="14749.5"/>
    <m/>
  </r>
  <r>
    <s v="   24.1"/>
    <x v="1"/>
    <s v="PAV 1"/>
    <s v="PINTURA FINAL"/>
    <s v="EST/ACAB-&gt;PAV 1"/>
    <n v="613.75"/>
    <s v="M²"/>
    <n v="0"/>
    <d v="2022-04-28T00:00:00"/>
    <d v="2022-05-05T00:00:00"/>
    <x v="32"/>
    <n v="5"/>
    <n v="3682.5"/>
    <n v="0"/>
  </r>
  <r>
    <s v="   24.2"/>
    <x v="1"/>
    <s v="PAV 2"/>
    <s v="PINTURA FINAL"/>
    <s v="EST/ACAB-&gt;PAV 2"/>
    <n v="614.85"/>
    <s v="M²"/>
    <n v="0"/>
    <d v="2022-05-05T00:00:00"/>
    <d v="2022-05-12T00:00:00"/>
    <x v="36"/>
    <n v="5"/>
    <n v="3689.1"/>
    <n v="0"/>
  </r>
  <r>
    <s v="   24.3"/>
    <x v="1"/>
    <s v="PAV 3"/>
    <s v="PINTURA FINAL"/>
    <s v="EST/ACAB-&gt;PAV 3"/>
    <n v="614.85"/>
    <s v="M²"/>
    <n v="0"/>
    <d v="2022-05-12T00:00:00"/>
    <d v="2022-05-19T00:00:00"/>
    <x v="38"/>
    <n v="5"/>
    <n v="3689.1"/>
    <n v="0"/>
  </r>
  <r>
    <s v="   24.4"/>
    <x v="1"/>
    <s v="PAV 4"/>
    <s v="PINTURA FINAL"/>
    <s v="EST/ACAB-&gt;PAV 4"/>
    <n v="614.79"/>
    <s v="M²"/>
    <n v="0"/>
    <d v="2022-05-19T00:00:00"/>
    <d v="2022-05-26T00:00:00"/>
    <x v="37"/>
    <n v="5"/>
    <n v="3688.8"/>
    <n v="0"/>
  </r>
  <r>
    <n v="-25"/>
    <x v="0"/>
    <n v="27"/>
    <m/>
    <s v="TELHADO "/>
    <n v="40"/>
    <s v="UN"/>
    <n v="0"/>
    <d v="2021-12-09T00:00:00"/>
    <d v="2021-12-16T00:00:00"/>
    <x v="16"/>
    <n v="5"/>
    <n v="51093"/>
    <m/>
  </r>
  <r>
    <s v="   25.1"/>
    <x v="1"/>
    <s v="COB"/>
    <s v="TELHADO "/>
    <s v="EST/ACAB-&gt;COB"/>
    <n v="40"/>
    <s v="UN"/>
    <n v="0"/>
    <d v="2021-12-09T00:00:00"/>
    <d v="2021-12-16T00:00:00"/>
    <x v="16"/>
    <n v="5"/>
    <n v="51093"/>
    <n v="0"/>
  </r>
  <r>
    <n v="-26"/>
    <x v="0"/>
    <n v="28"/>
    <m/>
    <s v="ALGEROSA + RUFOS"/>
    <n v="1"/>
    <s v="TORRE"/>
    <n v="0"/>
    <d v="2021-12-16T00:00:00"/>
    <d v="2021-12-23T00:00:00"/>
    <x v="15"/>
    <n v="5"/>
    <n v="10092.299999999999"/>
    <m/>
  </r>
  <r>
    <s v="   26.1"/>
    <x v="1"/>
    <s v="COB"/>
    <s v="ALGEROSA + RUFOS"/>
    <s v="EST/ACAB-&gt;COB"/>
    <n v="1"/>
    <s v="TORRE"/>
    <n v="0"/>
    <d v="2021-12-16T00:00:00"/>
    <d v="2021-12-23T00:00:00"/>
    <x v="15"/>
    <n v="5"/>
    <n v="10092.299999999999"/>
    <n v="0"/>
  </r>
  <r>
    <n v="-27"/>
    <x v="0"/>
    <n v="29"/>
    <m/>
    <s v="COMPLEMENTAçãO E LIMPEZA"/>
    <n v="1"/>
    <s v="TORRE"/>
    <n v="0"/>
    <d v="2022-05-26T00:00:00"/>
    <d v="2022-06-03T00:00:00"/>
    <x v="39"/>
    <n v="5"/>
    <n v="2000"/>
    <m/>
  </r>
  <r>
    <s v="   27.1"/>
    <x v="1"/>
    <s v="EST/ACAB"/>
    <s v="COMPLEMENTAçãO E LIMPEZA"/>
    <s v="EST/ACAB"/>
    <n v="1"/>
    <s v="TORRE"/>
    <n v="0"/>
    <d v="2022-05-26T00:00:00"/>
    <d v="2022-06-03T00:00:00"/>
    <x v="39"/>
    <n v="5"/>
    <n v="2000"/>
    <n v="0"/>
  </r>
  <r>
    <n v="-28"/>
    <x v="0"/>
    <n v="30"/>
    <m/>
    <s v="REBOCO EXTERNO"/>
    <n v="745.27"/>
    <s v="M²"/>
    <n v="0"/>
    <d v="2021-12-03T00:00:00"/>
    <d v="2022-01-14T00:00:00"/>
    <x v="20"/>
    <n v="30"/>
    <n v="82892.7"/>
    <m/>
  </r>
  <r>
    <s v="   28.3"/>
    <x v="1"/>
    <s v="DIREITA"/>
    <s v="REBOCO EXTERNO"/>
    <s v="FAC-&gt;DIREITA"/>
    <n v="124.93"/>
    <s v="M²"/>
    <n v="0"/>
    <d v="2021-12-24T00:00:00"/>
    <d v="2021-12-31T00:00:00"/>
    <x v="17"/>
    <n v="5"/>
    <n v="11086.4"/>
    <n v="0"/>
  </r>
  <r>
    <s v="   28.1"/>
    <x v="1"/>
    <s v="ESQUERDA"/>
    <s v="REBOCO EXTERNO"/>
    <s v="FAC-&gt;ESQUERDA"/>
    <n v="126.24"/>
    <s v="M²"/>
    <n v="0"/>
    <d v="2021-12-03T00:00:00"/>
    <d v="2021-12-10T00:00:00"/>
    <x v="14"/>
    <n v="5"/>
    <n v="11162.8"/>
    <n v="0"/>
  </r>
  <r>
    <s v="   28.4"/>
    <x v="1"/>
    <s v="FRONTAL"/>
    <s v="REBOCO EXTERNO"/>
    <s v="FAC-&gt;FRONTAL"/>
    <n v="255.83"/>
    <s v="M²"/>
    <n v="0"/>
    <d v="2021-12-31T00:00:00"/>
    <d v="2022-01-14T00:00:00"/>
    <x v="20"/>
    <n v="10"/>
    <n v="31231"/>
    <n v="0"/>
  </r>
  <r>
    <s v="   28.2"/>
    <x v="1"/>
    <s v="FUNDOS"/>
    <s v="REBOCO EXTERNO"/>
    <s v="FAC-&gt;FUNDOS"/>
    <n v="238.27"/>
    <s v="M²"/>
    <n v="0"/>
    <d v="2021-12-10T00:00:00"/>
    <d v="2021-12-24T00:00:00"/>
    <x v="15"/>
    <n v="10"/>
    <n v="29412.400000000001"/>
    <n v="0"/>
  </r>
  <r>
    <n v="-29"/>
    <x v="0"/>
    <n v="31"/>
    <m/>
    <s v="PINTURA EXTERNA"/>
    <n v="745.27"/>
    <s v="M²/M²"/>
    <n v="0"/>
    <d v="2022-03-10T00:00:00"/>
    <d v="2022-04-21T00:00:00"/>
    <x v="34"/>
    <n v="30"/>
    <n v="37045"/>
    <m/>
  </r>
  <r>
    <s v="   29.3"/>
    <x v="1"/>
    <s v="DIREITA"/>
    <s v="PINTURA EXTERNA"/>
    <s v="FAC-&gt;DIREITA"/>
    <n v="124.93"/>
    <s v="M²/M²"/>
    <n v="0"/>
    <d v="2022-03-31T00:00:00"/>
    <d v="2022-04-07T00:00:00"/>
    <x v="31"/>
    <n v="5"/>
    <n v="6209.8"/>
    <n v="0"/>
  </r>
  <r>
    <s v="   29.1"/>
    <x v="1"/>
    <s v="ESQUERDA"/>
    <s v="PINTURA EXTERNA"/>
    <s v="FAC-&gt;ESQUERDA"/>
    <n v="126.24"/>
    <s v="M²/M²"/>
    <n v="0"/>
    <d v="2022-03-10T00:00:00"/>
    <d v="2022-03-17T00:00:00"/>
    <x v="27"/>
    <n v="5"/>
    <n v="6275.3"/>
    <n v="0"/>
  </r>
  <r>
    <s v="   29.4"/>
    <x v="1"/>
    <s v="FRONTAL"/>
    <s v="PINTURA EXTERNA"/>
    <s v="FAC-&gt;FRONTAL"/>
    <n v="255.83"/>
    <s v="M²/M²"/>
    <n v="0"/>
    <d v="2022-04-07T00:00:00"/>
    <d v="2022-04-21T00:00:00"/>
    <x v="34"/>
    <n v="10"/>
    <n v="12716.4"/>
    <n v="0"/>
  </r>
  <r>
    <s v="   29.2"/>
    <x v="1"/>
    <s v="FUNDOS"/>
    <s v="PINTURA EXTERNA"/>
    <s v="FAC-&gt;FUNDOS"/>
    <n v="238.27"/>
    <s v="M²/M²"/>
    <n v="0"/>
    <d v="2022-03-17T00:00:00"/>
    <d v="2022-03-31T00:00:00"/>
    <x v="30"/>
    <n v="10"/>
    <n v="11843.5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">
  <r>
    <n v="-1"/>
    <s v="PROCESSO"/>
    <n v="1"/>
    <m/>
    <s v="LOCAçãO E GABARITO"/>
    <n v="74.739999999999995"/>
    <s v="HR"/>
    <n v="0"/>
    <d v="2021-08-16T00:00:00"/>
    <d v="2021-08-20T00:00:00"/>
    <x v="0"/>
    <n v="5"/>
    <n v="2720.5"/>
    <m/>
    <n v="1"/>
    <d v="2021-09-10T00:00:00"/>
    <d v="2021-09-13T00:00:00"/>
    <n v="2"/>
    <m/>
  </r>
  <r>
    <s v="   1.1"/>
    <s v="atividade"/>
    <s v="FUND"/>
    <s v="LOCAçãO E GABARITO"/>
    <s v="EST/ACAB-&gt;FUND"/>
    <n v="74.739999999999995"/>
    <s v="HR"/>
    <n v="0"/>
    <d v="2021-08-16T00:00:00"/>
    <d v="2021-08-20T00:00:00"/>
    <x v="0"/>
    <n v="5"/>
    <n v="2720.5"/>
    <n v="0"/>
    <n v="1"/>
    <d v="2021-09-10T00:00:00"/>
    <d v="2021-09-13T00:00:00"/>
    <n v="2"/>
    <n v="2720.5"/>
  </r>
  <r>
    <n v="-2"/>
    <s v="PROCESSO"/>
    <n v="2"/>
    <m/>
    <s v="ESTACAS"/>
    <n v="1"/>
    <s v="TORRE"/>
    <n v="0"/>
    <d v="2021-08-23T00:00:00"/>
    <d v="2021-09-06T00:00:00"/>
    <x v="1"/>
    <n v="10"/>
    <n v="34356.199999999997"/>
    <m/>
    <m/>
    <m/>
    <m/>
    <m/>
    <m/>
  </r>
  <r>
    <s v="   2.1"/>
    <s v="atividade"/>
    <s v="FUND"/>
    <s v="ESTACAS"/>
    <s v="EST/ACAB-&gt;FUND"/>
    <n v="1"/>
    <s v="TORRE"/>
    <n v="0"/>
    <d v="2021-08-23T00:00:00"/>
    <d v="2021-09-06T00:00:00"/>
    <x v="1"/>
    <n v="10"/>
    <n v="34356.199999999997"/>
    <n v="0"/>
    <m/>
    <m/>
    <m/>
    <m/>
    <n v="0"/>
  </r>
  <r>
    <n v="-3"/>
    <s v="PROCESSO"/>
    <n v="3"/>
    <m/>
    <s v="VIGAS BALDRAMES"/>
    <n v="36.229999999999997"/>
    <s v="M³"/>
    <n v="0"/>
    <d v="2021-09-06T00:00:00"/>
    <d v="2021-09-13T00:00:00"/>
    <x v="2"/>
    <n v="5"/>
    <n v="70046.7"/>
    <m/>
    <m/>
    <m/>
    <m/>
    <m/>
    <m/>
  </r>
  <r>
    <s v="   3.1"/>
    <s v="atividade"/>
    <s v="FUND"/>
    <s v="VIGAS BALDRAMES"/>
    <s v="EST/ACAB-&gt;FUND"/>
    <n v="36.229999999999997"/>
    <s v="M³"/>
    <n v="0"/>
    <d v="2021-09-06T00:00:00"/>
    <d v="2021-09-13T00:00:00"/>
    <x v="2"/>
    <n v="5"/>
    <n v="70046.7"/>
    <n v="0"/>
    <m/>
    <m/>
    <m/>
    <m/>
    <n v="0"/>
  </r>
  <r>
    <n v="-4"/>
    <s v="PROCESSO"/>
    <n v="4"/>
    <m/>
    <s v="INSTALAçõES ENTERRADAS"/>
    <n v="2"/>
    <s v="TORRE"/>
    <n v="0"/>
    <d v="2021-09-13T00:00:00"/>
    <d v="2021-09-20T00:00:00"/>
    <x v="3"/>
    <n v="5"/>
    <n v="350"/>
    <m/>
    <m/>
    <m/>
    <m/>
    <m/>
    <m/>
  </r>
  <r>
    <s v="   4.1"/>
    <s v="atividade"/>
    <s v="FUND"/>
    <s v="INSTALAçõES ENTERRADAS"/>
    <s v="EST/ACAB-&gt;FUND"/>
    <n v="2"/>
    <s v="TORRE"/>
    <n v="0"/>
    <d v="2021-09-13T00:00:00"/>
    <d v="2021-09-20T00:00:00"/>
    <x v="3"/>
    <n v="5"/>
    <n v="350"/>
    <n v="0"/>
    <m/>
    <m/>
    <m/>
    <m/>
    <n v="0"/>
  </r>
  <r>
    <n v="-5"/>
    <s v="PROCESSO"/>
    <n v="5"/>
    <m/>
    <s v="CONTRAPISO"/>
    <n v="456.3"/>
    <s v="M²"/>
    <n v="0"/>
    <d v="2021-09-20T00:00:00"/>
    <d v="2021-09-27T00:00:00"/>
    <x v="4"/>
    <n v="5"/>
    <n v="34912.199999999997"/>
    <m/>
    <m/>
    <m/>
    <m/>
    <m/>
    <m/>
  </r>
  <r>
    <s v="   5.1"/>
    <s v="atividade"/>
    <s v="FUND"/>
    <s v="CONTRAPISO"/>
    <s v="EST/ACAB-&gt;FUND"/>
    <n v="456.3"/>
    <s v="M²"/>
    <n v="0"/>
    <d v="2021-09-20T00:00:00"/>
    <d v="2021-09-27T00:00:00"/>
    <x v="4"/>
    <n v="5"/>
    <n v="34912.199999999997"/>
    <n v="0"/>
    <m/>
    <m/>
    <m/>
    <m/>
    <n v="0"/>
  </r>
  <r>
    <n v="-6"/>
    <s v="PROCESSO"/>
    <n v="6"/>
    <m/>
    <s v="ALVENARIA ESTRUTURAL"/>
    <n v="1684.46"/>
    <s v="M³"/>
    <n v="0"/>
    <d v="2021-09-27T00:00:00"/>
    <d v="2021-12-03T00:00:00"/>
    <x v="5"/>
    <n v="25"/>
    <n v="407381.7"/>
    <m/>
    <m/>
    <m/>
    <m/>
    <m/>
    <m/>
  </r>
  <r>
    <s v="   6.5"/>
    <s v="atividade"/>
    <s v="COB"/>
    <s v="ALVENARIA ESTRUTURAL"/>
    <s v="EST/ACAB-&gt;COB"/>
    <n v="83.84"/>
    <s v="M³"/>
    <n v="0"/>
    <d v="2021-11-26T00:00:00"/>
    <d v="2021-12-03T00:00:00"/>
    <x v="5"/>
    <n v="5"/>
    <n v="19719.7"/>
    <n v="0"/>
    <m/>
    <m/>
    <m/>
    <m/>
    <n v="0"/>
  </r>
  <r>
    <s v="   6.1"/>
    <s v="atividade"/>
    <s v="PAV 1"/>
    <s v="ALVENARIA ESTRUTURAL"/>
    <s v="EST/ACAB-&gt;PAV 1"/>
    <n v="399.29"/>
    <s v="M³"/>
    <n v="0"/>
    <d v="2021-09-27T00:00:00"/>
    <d v="2021-10-04T00:00:00"/>
    <x v="6"/>
    <n v="5"/>
    <n v="96711"/>
    <n v="0"/>
    <m/>
    <m/>
    <m/>
    <m/>
    <n v="0"/>
  </r>
  <r>
    <s v="   6.2"/>
    <s v="atividade"/>
    <s v="PAV 2"/>
    <s v="ALVENARIA ESTRUTURAL"/>
    <s v="EST/ACAB-&gt;PAV 2"/>
    <n v="400.44"/>
    <s v="M³"/>
    <n v="0"/>
    <d v="2021-10-12T00:00:00"/>
    <d v="2021-10-19T00:00:00"/>
    <x v="7"/>
    <n v="5"/>
    <n v="96983.7"/>
    <n v="0"/>
    <m/>
    <m/>
    <m/>
    <m/>
    <n v="0"/>
  </r>
  <r>
    <s v="   6.3"/>
    <s v="atividade"/>
    <s v="PAV 3"/>
    <s v="ALVENARIA ESTRUTURAL"/>
    <s v="EST/ACAB-&gt;PAV 3"/>
    <n v="400.44"/>
    <s v="M³"/>
    <n v="0"/>
    <d v="2021-10-26T00:00:00"/>
    <d v="2021-11-03T00:00:00"/>
    <x v="8"/>
    <n v="5"/>
    <n v="96983.7"/>
    <n v="0"/>
    <m/>
    <m/>
    <m/>
    <m/>
    <n v="0"/>
  </r>
  <r>
    <s v="   6.4"/>
    <s v="atividade"/>
    <s v="PAV 4"/>
    <s v="ALVENARIA ESTRUTURAL"/>
    <s v="EST/ACAB-&gt;PAV 4"/>
    <n v="400.44"/>
    <s v="M³"/>
    <n v="0"/>
    <d v="2021-11-10T00:00:00"/>
    <d v="2021-11-18T00:00:00"/>
    <x v="9"/>
    <n v="5"/>
    <n v="96983.7"/>
    <n v="0"/>
    <m/>
    <m/>
    <m/>
    <m/>
    <n v="0"/>
  </r>
  <r>
    <n v="-7"/>
    <s v="PROCESSO"/>
    <n v="7"/>
    <m/>
    <s v="ESTRUTURA MOLDADO IN LOCO"/>
    <n v="219.93"/>
    <s v="M³"/>
    <n v="0"/>
    <d v="2021-10-04T00:00:00"/>
    <d v="2021-11-26T00:00:00"/>
    <x v="10"/>
    <n v="20"/>
    <n v="262864.09999999998"/>
    <m/>
    <m/>
    <m/>
    <m/>
    <m/>
    <m/>
  </r>
  <r>
    <s v="   7.1"/>
    <s v="atividade"/>
    <s v="PAV 1"/>
    <s v="ESTRUTURA MOLDADO IN LOCO"/>
    <s v="EST/ACAB-&gt;PAV 1"/>
    <n v="55.49"/>
    <s v="M³"/>
    <n v="0"/>
    <d v="2021-10-04T00:00:00"/>
    <d v="2021-10-12T00:00:00"/>
    <x v="11"/>
    <n v="5"/>
    <n v="66451"/>
    <n v="0"/>
    <m/>
    <m/>
    <m/>
    <m/>
    <n v="0"/>
  </r>
  <r>
    <s v="   7.2"/>
    <s v="atividade"/>
    <s v="PAV 2"/>
    <s v="ESTRUTURA MOLDADO IN LOCO"/>
    <s v="EST/ACAB-&gt;PAV 2"/>
    <n v="55.49"/>
    <s v="M³"/>
    <n v="0"/>
    <d v="2021-10-19T00:00:00"/>
    <d v="2021-10-26T00:00:00"/>
    <x v="12"/>
    <n v="5"/>
    <n v="66451"/>
    <n v="0"/>
    <m/>
    <m/>
    <m/>
    <m/>
    <n v="0"/>
  </r>
  <r>
    <s v="   7.3"/>
    <s v="atividade"/>
    <s v="PAV 3"/>
    <s v="ESTRUTURA MOLDADO IN LOCO"/>
    <s v="EST/ACAB-&gt;PAV 3"/>
    <n v="55.49"/>
    <s v="M³"/>
    <n v="0"/>
    <d v="2021-11-03T00:00:00"/>
    <d v="2021-11-10T00:00:00"/>
    <x v="13"/>
    <n v="5"/>
    <n v="66451"/>
    <n v="0"/>
    <m/>
    <m/>
    <m/>
    <m/>
    <n v="0"/>
  </r>
  <r>
    <s v="   7.4"/>
    <s v="atividade"/>
    <s v="PAV 4"/>
    <s v="ESTRUTURA MOLDADO IN LOCO"/>
    <s v="EST/ACAB-&gt;PAV 4"/>
    <n v="53.46"/>
    <s v="M³"/>
    <n v="0"/>
    <d v="2021-11-18T00:00:00"/>
    <d v="2021-11-26T00:00:00"/>
    <x v="10"/>
    <n v="5"/>
    <n v="63511.1"/>
    <n v="0"/>
    <m/>
    <m/>
    <m/>
    <m/>
    <n v="0"/>
  </r>
  <r>
    <n v="-8"/>
    <s v="PROCESSO"/>
    <n v="8"/>
    <m/>
    <s v="INSTALAçõES HIDROSSANITáRIAS"/>
    <n v="6"/>
    <s v="TORRE"/>
    <n v="0"/>
    <d v="2021-11-03T00:00:00"/>
    <d v="2021-12-09T00:00:00"/>
    <x v="14"/>
    <n v="24.8"/>
    <n v="53823.6"/>
    <m/>
    <m/>
    <m/>
    <m/>
    <m/>
    <m/>
  </r>
  <r>
    <s v="   8.6"/>
    <s v="atividade"/>
    <s v="COB"/>
    <s v="INSTALAçõES HIDROSSANITáRIAS"/>
    <s v="EST/ACAB-&gt;COB"/>
    <n v="0.33"/>
    <s v="TORRE"/>
    <n v="0"/>
    <d v="2021-12-03T00:00:00"/>
    <d v="2021-12-09T00:00:00"/>
    <x v="14"/>
    <n v="4.8"/>
    <n v="5770.6"/>
    <n v="0"/>
    <m/>
    <m/>
    <m/>
    <m/>
    <n v="0"/>
  </r>
  <r>
    <s v="   8.1"/>
    <s v="atividade"/>
    <s v="FUND"/>
    <s v="INSTALAçõES HIDROSSANITáRIAS"/>
    <s v="EST/ACAB-&gt;FUND"/>
    <n v="0.33"/>
    <s v="TORRE"/>
    <n v="0"/>
    <d v="2021-11-03T00:00:00"/>
    <d v="2021-11-03T00:00:00"/>
    <x v="8"/>
    <n v="0"/>
    <n v="5770.6"/>
    <n v="0"/>
    <m/>
    <m/>
    <m/>
    <m/>
    <n v="0"/>
  </r>
  <r>
    <s v="   8.2"/>
    <s v="atividade"/>
    <s v="PAV 1"/>
    <s v="INSTALAçõES HIDROSSANITáRIAS"/>
    <s v="EST/ACAB-&gt;PAV 1"/>
    <n v="1.33"/>
    <s v="TORRE"/>
    <n v="0"/>
    <d v="2021-11-03T00:00:00"/>
    <d v="2021-11-10T00:00:00"/>
    <x v="13"/>
    <n v="5"/>
    <n v="10570.6"/>
    <n v="0"/>
    <m/>
    <m/>
    <m/>
    <m/>
    <n v="0"/>
  </r>
  <r>
    <s v="   8.3"/>
    <s v="atividade"/>
    <s v="PAV 2"/>
    <s v="INSTALAçõES HIDROSSANITáRIAS"/>
    <s v="EST/ACAB-&gt;PAV 2"/>
    <n v="1.33"/>
    <s v="TORRE"/>
    <n v="0"/>
    <d v="2021-11-10T00:00:00"/>
    <d v="2021-11-18T00:00:00"/>
    <x v="9"/>
    <n v="5"/>
    <n v="10570.6"/>
    <n v="0"/>
    <m/>
    <m/>
    <m/>
    <m/>
    <n v="0"/>
  </r>
  <r>
    <s v="   8.4"/>
    <s v="atividade"/>
    <s v="PAV 3"/>
    <s v="INSTALAçõES HIDROSSANITáRIAS"/>
    <s v="EST/ACAB-&gt;PAV 3"/>
    <n v="1.33"/>
    <s v="TORRE"/>
    <n v="0"/>
    <d v="2021-11-18T00:00:00"/>
    <d v="2021-11-26T00:00:00"/>
    <x v="10"/>
    <n v="5"/>
    <n v="10570.6"/>
    <n v="0"/>
    <m/>
    <m/>
    <m/>
    <m/>
    <n v="0"/>
  </r>
  <r>
    <s v="   8.5"/>
    <s v="atividade"/>
    <s v="PAV 4"/>
    <s v="INSTALAçõES HIDROSSANITáRIAS"/>
    <s v="EST/ACAB-&gt;PAV 4"/>
    <n v="1.33"/>
    <s v="TORRE"/>
    <n v="0"/>
    <d v="2021-11-26T00:00:00"/>
    <d v="2021-12-03T00:00:00"/>
    <x v="5"/>
    <n v="5"/>
    <n v="10570.6"/>
    <n v="0"/>
    <m/>
    <m/>
    <m/>
    <m/>
    <n v="0"/>
  </r>
  <r>
    <n v="-9"/>
    <s v="PROCESSO"/>
    <n v="9"/>
    <m/>
    <s v="REBOCO INTERNO"/>
    <n v="562.37"/>
    <s v="M²"/>
    <n v="0"/>
    <d v="2021-11-26T00:00:00"/>
    <d v="2021-12-24T00:00:00"/>
    <x v="15"/>
    <n v="20"/>
    <n v="14863.2"/>
    <m/>
    <m/>
    <m/>
    <m/>
    <m/>
    <m/>
  </r>
  <r>
    <s v="   9.1"/>
    <s v="atividade"/>
    <s v="PAV 1"/>
    <s v="REBOCO INTERNO"/>
    <s v="EST/ACAB-&gt;PAV 1"/>
    <n v="140.59"/>
    <s v="M²"/>
    <n v="0"/>
    <d v="2021-11-26T00:00:00"/>
    <d v="2021-12-03T00:00:00"/>
    <x v="5"/>
    <n v="5"/>
    <n v="3715.8"/>
    <n v="0"/>
    <m/>
    <m/>
    <m/>
    <m/>
    <n v="0"/>
  </r>
  <r>
    <s v="   9.2"/>
    <s v="atividade"/>
    <s v="PAV 2"/>
    <s v="REBOCO INTERNO"/>
    <s v="EST/ACAB-&gt;PAV 2"/>
    <n v="140.59"/>
    <s v="M²"/>
    <n v="0"/>
    <d v="2021-12-03T00:00:00"/>
    <d v="2021-12-10T00:00:00"/>
    <x v="14"/>
    <n v="5"/>
    <n v="3715.8"/>
    <n v="0"/>
    <m/>
    <m/>
    <m/>
    <m/>
    <n v="0"/>
  </r>
  <r>
    <s v="   9.3"/>
    <s v="atividade"/>
    <s v="PAV 3"/>
    <s v="REBOCO INTERNO"/>
    <s v="EST/ACAB-&gt;PAV 3"/>
    <n v="140.59"/>
    <s v="M²"/>
    <n v="0"/>
    <d v="2021-12-10T00:00:00"/>
    <d v="2021-12-17T00:00:00"/>
    <x v="16"/>
    <n v="5"/>
    <n v="3715.8"/>
    <n v="0"/>
    <m/>
    <m/>
    <m/>
    <m/>
    <n v="0"/>
  </r>
  <r>
    <s v="   9.4"/>
    <s v="atividade"/>
    <s v="PAV 4"/>
    <s v="REBOCO INTERNO"/>
    <s v="EST/ACAB-&gt;PAV 4"/>
    <n v="140.59"/>
    <s v="M²"/>
    <n v="0"/>
    <d v="2021-12-17T00:00:00"/>
    <d v="2021-12-24T00:00:00"/>
    <x v="15"/>
    <n v="5"/>
    <n v="3715.8"/>
    <n v="0"/>
    <m/>
    <m/>
    <m/>
    <m/>
    <n v="0"/>
  </r>
  <r>
    <n v="-10"/>
    <s v="PROCESSO"/>
    <n v="10"/>
    <m/>
    <s v="SHAFT "/>
    <n v="85.54"/>
    <s v="M²"/>
    <n v="0"/>
    <d v="2021-12-16T00:00:00"/>
    <d v="2021-12-30T00:00:00"/>
    <x v="17"/>
    <n v="10"/>
    <n v="1710.8"/>
    <m/>
    <m/>
    <m/>
    <m/>
    <m/>
    <m/>
  </r>
  <r>
    <s v="   10.1"/>
    <s v="atividade"/>
    <s v="PAV 1"/>
    <s v="SHAFT "/>
    <s v="EST/ACAB-&gt;PAV 1"/>
    <n v="21.39"/>
    <s v="M²"/>
    <n v="0"/>
    <d v="2021-12-16T00:00:00"/>
    <d v="2021-12-21T00:00:00"/>
    <x v="15"/>
    <n v="2.5"/>
    <n v="427.7"/>
    <n v="0"/>
    <m/>
    <m/>
    <m/>
    <m/>
    <n v="0"/>
  </r>
  <r>
    <s v="   10.2"/>
    <s v="atividade"/>
    <s v="PAV 2"/>
    <s v="SHAFT "/>
    <s v="EST/ACAB-&gt;PAV 2"/>
    <n v="21.39"/>
    <s v="M²"/>
    <n v="0"/>
    <d v="2021-12-21T00:00:00"/>
    <d v="2021-12-23T00:00:00"/>
    <x v="15"/>
    <n v="2.5"/>
    <n v="427.7"/>
    <n v="0"/>
    <m/>
    <m/>
    <m/>
    <m/>
    <n v="0"/>
  </r>
  <r>
    <s v="   10.3"/>
    <s v="atividade"/>
    <s v="PAV 3"/>
    <s v="SHAFT "/>
    <s v="EST/ACAB-&gt;PAV 3"/>
    <n v="21.39"/>
    <s v="M²"/>
    <n v="0"/>
    <d v="2021-12-23T00:00:00"/>
    <d v="2021-12-28T00:00:00"/>
    <x v="17"/>
    <n v="2.5"/>
    <n v="427.7"/>
    <n v="0"/>
    <m/>
    <m/>
    <m/>
    <m/>
    <n v="0"/>
  </r>
  <r>
    <s v="   10.4"/>
    <s v="atividade"/>
    <s v="PAV 4"/>
    <s v="SHAFT "/>
    <s v="EST/ACAB-&gt;PAV 4"/>
    <n v="21.39"/>
    <s v="M²"/>
    <n v="0"/>
    <d v="2021-12-28T00:00:00"/>
    <d v="2021-12-30T00:00:00"/>
    <x v="17"/>
    <n v="2.5"/>
    <n v="427.7"/>
    <n v="0"/>
    <m/>
    <m/>
    <m/>
    <m/>
    <n v="0"/>
  </r>
  <r>
    <n v="-11"/>
    <s v="PROCESSO"/>
    <n v="11"/>
    <m/>
    <s v="IMPERMEABILIZAçãO DO WC"/>
    <n v="24.33"/>
    <s v="M²"/>
    <n v="0"/>
    <d v="2021-12-21T00:00:00"/>
    <d v="2022-01-19T00:00:00"/>
    <x v="18"/>
    <n v="19.899999999999999"/>
    <n v="956.3"/>
    <m/>
    <m/>
    <m/>
    <m/>
    <m/>
    <m/>
  </r>
  <r>
    <s v="   11.1"/>
    <s v="atividade"/>
    <s v="FUND"/>
    <s v="IMPERMEABILIZAçãO DO WC"/>
    <s v="EST/ACAB-&gt;FUND"/>
    <n v="5.17"/>
    <s v="M²"/>
    <n v="0"/>
    <d v="2021-12-21T00:00:00"/>
    <d v="2021-12-21T00:00:00"/>
    <x v="15"/>
    <n v="0"/>
    <n v="203.1"/>
    <n v="0"/>
    <m/>
    <m/>
    <m/>
    <m/>
    <n v="0"/>
  </r>
  <r>
    <s v="   11.2"/>
    <s v="atividade"/>
    <s v="PAV 1"/>
    <s v="IMPERMEABILIZAçãO DO WC"/>
    <s v="EST/ACAB-&gt;PAV 1"/>
    <n v="6.08"/>
    <s v="M²"/>
    <n v="0"/>
    <d v="2021-12-21T00:00:00"/>
    <d v="2021-12-28T00:00:00"/>
    <x v="17"/>
    <n v="5"/>
    <n v="239.1"/>
    <n v="0"/>
    <m/>
    <m/>
    <m/>
    <m/>
    <n v="0"/>
  </r>
  <r>
    <s v="   11.3"/>
    <s v="atividade"/>
    <s v="PAV 2"/>
    <s v="IMPERMEABILIZAçãO DO WC"/>
    <s v="EST/ACAB-&gt;PAV 2"/>
    <n v="6.08"/>
    <s v="M²"/>
    <n v="0"/>
    <d v="2021-12-28T00:00:00"/>
    <d v="2022-01-04T00:00:00"/>
    <x v="19"/>
    <n v="5"/>
    <n v="239.1"/>
    <n v="0"/>
    <m/>
    <m/>
    <m/>
    <m/>
    <n v="0"/>
  </r>
  <r>
    <s v="   11.4"/>
    <s v="atividade"/>
    <s v="PAV 3"/>
    <s v="IMPERMEABILIZAçãO DO WC"/>
    <s v="EST/ACAB-&gt;PAV 3"/>
    <n v="6.08"/>
    <s v="M²"/>
    <n v="0"/>
    <d v="2022-01-04T00:00:00"/>
    <d v="2022-01-11T00:00:00"/>
    <x v="20"/>
    <n v="5"/>
    <n v="239.1"/>
    <n v="0"/>
    <m/>
    <m/>
    <m/>
    <m/>
    <n v="0"/>
  </r>
  <r>
    <s v="   11.5"/>
    <s v="atividade"/>
    <s v="PAV 4"/>
    <s v="IMPERMEABILIZAçãO DO WC"/>
    <s v="EST/ACAB-&gt;PAV 4"/>
    <n v="0.92"/>
    <s v="M²"/>
    <n v="0"/>
    <d v="2022-01-11T00:00:00"/>
    <d v="2022-01-19T00:00:00"/>
    <x v="18"/>
    <n v="5"/>
    <n v="36"/>
    <n v="0"/>
    <m/>
    <m/>
    <m/>
    <m/>
    <n v="0"/>
  </r>
  <r>
    <n v="-12"/>
    <s v="PROCESSO"/>
    <n v="12"/>
    <m/>
    <s v="CERâMICA APTOS"/>
    <n v="2693.28"/>
    <s v="M²"/>
    <n v="0"/>
    <d v="2022-01-04T00:00:00"/>
    <d v="2022-02-02T00:00:00"/>
    <x v="21"/>
    <n v="20"/>
    <n v="81742.7"/>
    <m/>
    <m/>
    <m/>
    <m/>
    <m/>
    <m/>
  </r>
  <r>
    <s v="   12.1"/>
    <s v="atividade"/>
    <s v="PAV 1"/>
    <s v="CERâMICA APTOS"/>
    <s v="EST/ACAB-&gt;PAV 1"/>
    <n v="673.38"/>
    <s v="M²"/>
    <n v="0"/>
    <d v="2022-01-04T00:00:00"/>
    <d v="2022-01-11T00:00:00"/>
    <x v="20"/>
    <n v="5"/>
    <n v="20437.400000000001"/>
    <n v="0"/>
    <m/>
    <m/>
    <m/>
    <m/>
    <n v="0"/>
  </r>
  <r>
    <s v="   12.2"/>
    <s v="atividade"/>
    <s v="PAV 2"/>
    <s v="CERâMICA APTOS"/>
    <s v="EST/ACAB-&gt;PAV 2"/>
    <n v="673.38"/>
    <s v="M²"/>
    <n v="0"/>
    <d v="2022-01-11T00:00:00"/>
    <d v="2022-01-19T00:00:00"/>
    <x v="18"/>
    <n v="5"/>
    <n v="20437.400000000001"/>
    <n v="0"/>
    <m/>
    <m/>
    <m/>
    <m/>
    <n v="0"/>
  </r>
  <r>
    <s v="   12.3"/>
    <s v="atividade"/>
    <s v="PAV 3"/>
    <s v="CERâMICA APTOS"/>
    <s v="EST/ACAB-&gt;PAV 3"/>
    <n v="673.15"/>
    <s v="M²"/>
    <n v="0"/>
    <d v="2022-01-19T00:00:00"/>
    <d v="2022-01-26T00:00:00"/>
    <x v="22"/>
    <n v="5"/>
    <n v="20430.599999999999"/>
    <n v="0"/>
    <m/>
    <m/>
    <m/>
    <m/>
    <n v="0"/>
  </r>
  <r>
    <s v="   12.4"/>
    <s v="atividade"/>
    <s v="PAV 4"/>
    <s v="CERâMICA APTOS"/>
    <s v="EST/ACAB-&gt;PAV 4"/>
    <n v="673.38"/>
    <s v="M²"/>
    <n v="0"/>
    <d v="2022-01-26T00:00:00"/>
    <d v="2022-02-02T00:00:00"/>
    <x v="21"/>
    <n v="5"/>
    <n v="20437.400000000001"/>
    <n v="0"/>
    <m/>
    <m/>
    <m/>
    <m/>
    <n v="0"/>
  </r>
  <r>
    <n v="-13"/>
    <s v="PROCESSO"/>
    <n v="13"/>
    <m/>
    <s v="GESSO LISO"/>
    <n v="1789.8"/>
    <s v="M²"/>
    <n v="0"/>
    <d v="2022-01-19T00:00:00"/>
    <d v="2022-02-16T00:00:00"/>
    <x v="23"/>
    <n v="20"/>
    <n v="27245.1"/>
    <m/>
    <m/>
    <m/>
    <m/>
    <m/>
    <m/>
  </r>
  <r>
    <s v="   13.1"/>
    <s v="atividade"/>
    <s v="PAV 1"/>
    <s v="GESSO LISO"/>
    <s v="EST/ACAB-&gt;PAV 1"/>
    <n v="446.62"/>
    <s v="M²"/>
    <n v="0"/>
    <d v="2022-01-19T00:00:00"/>
    <d v="2022-01-26T00:00:00"/>
    <x v="22"/>
    <n v="5"/>
    <n v="6798.7"/>
    <n v="0"/>
    <m/>
    <m/>
    <m/>
    <m/>
    <n v="0"/>
  </r>
  <r>
    <s v="   13.2"/>
    <s v="atividade"/>
    <s v="PAV 2"/>
    <s v="GESSO LISO"/>
    <s v="EST/ACAB-&gt;PAV 2"/>
    <n v="447.73"/>
    <s v="M²"/>
    <n v="0"/>
    <d v="2022-01-26T00:00:00"/>
    <d v="2022-02-02T00:00:00"/>
    <x v="21"/>
    <n v="5"/>
    <n v="6815.5"/>
    <n v="0"/>
    <m/>
    <m/>
    <m/>
    <m/>
    <n v="0"/>
  </r>
  <r>
    <s v="   13.3"/>
    <s v="atividade"/>
    <s v="PAV 3"/>
    <s v="GESSO LISO"/>
    <s v="EST/ACAB-&gt;PAV 3"/>
    <n v="447.73"/>
    <s v="M²"/>
    <n v="0"/>
    <d v="2022-02-02T00:00:00"/>
    <d v="2022-02-09T00:00:00"/>
    <x v="24"/>
    <n v="5"/>
    <n v="6815.5"/>
    <n v="0"/>
    <m/>
    <m/>
    <m/>
    <m/>
    <n v="0"/>
  </r>
  <r>
    <s v="   13.4"/>
    <s v="atividade"/>
    <s v="PAV 4"/>
    <s v="GESSO LISO"/>
    <s v="EST/ACAB-&gt;PAV 4"/>
    <n v="447.73"/>
    <s v="M²"/>
    <n v="0"/>
    <d v="2022-02-09T00:00:00"/>
    <d v="2022-02-16T00:00:00"/>
    <x v="23"/>
    <n v="5"/>
    <n v="6815.5"/>
    <n v="0"/>
    <m/>
    <m/>
    <m/>
    <m/>
    <n v="0"/>
  </r>
  <r>
    <n v="-14"/>
    <s v="PROCESSO"/>
    <n v="14"/>
    <m/>
    <s v="ESQUADRIA DE ALUMINIO"/>
    <n v="84"/>
    <s v="UN"/>
    <n v="0"/>
    <d v="2022-01-26T00:00:00"/>
    <d v="2022-02-24T00:00:00"/>
    <x v="25"/>
    <n v="20"/>
    <n v="106000"/>
    <m/>
    <m/>
    <m/>
    <m/>
    <m/>
    <m/>
  </r>
  <r>
    <s v="   14.1"/>
    <s v="atividade"/>
    <s v="PAV 1"/>
    <s v="ESQUADRIA DE ALUMINIO"/>
    <s v="EST/ACAB-&gt;PAV 1"/>
    <n v="21"/>
    <s v="UN"/>
    <n v="0"/>
    <d v="2022-01-26T00:00:00"/>
    <d v="2022-02-02T00:00:00"/>
    <x v="21"/>
    <n v="5"/>
    <n v="26500"/>
    <n v="0"/>
    <m/>
    <m/>
    <m/>
    <m/>
    <n v="0"/>
  </r>
  <r>
    <s v="   14.2"/>
    <s v="atividade"/>
    <s v="PAV 2"/>
    <s v="ESQUADRIA DE ALUMINIO"/>
    <s v="EST/ACAB-&gt;PAV 2"/>
    <n v="21"/>
    <s v="UN"/>
    <n v="0"/>
    <d v="2022-02-02T00:00:00"/>
    <d v="2022-02-09T00:00:00"/>
    <x v="24"/>
    <n v="5"/>
    <n v="26500"/>
    <n v="0"/>
    <m/>
    <m/>
    <m/>
    <m/>
    <n v="0"/>
  </r>
  <r>
    <s v="   14.3"/>
    <s v="atividade"/>
    <s v="PAV 3"/>
    <s v="ESQUADRIA DE ALUMINIO"/>
    <s v="EST/ACAB-&gt;PAV 3"/>
    <n v="21"/>
    <s v="UN"/>
    <n v="0"/>
    <d v="2022-02-09T00:00:00"/>
    <d v="2022-02-16T00:00:00"/>
    <x v="23"/>
    <n v="5"/>
    <n v="26500"/>
    <n v="0"/>
    <m/>
    <m/>
    <m/>
    <m/>
    <n v="0"/>
  </r>
  <r>
    <s v="   14.4"/>
    <s v="atividade"/>
    <s v="PAV 4"/>
    <s v="ESQUADRIA DE ALUMINIO"/>
    <s v="EST/ACAB-&gt;PAV 4"/>
    <n v="21"/>
    <s v="UN"/>
    <n v="0"/>
    <d v="2022-02-16T00:00:00"/>
    <d v="2022-02-24T00:00:00"/>
    <x v="25"/>
    <n v="5"/>
    <n v="26500"/>
    <n v="0"/>
    <m/>
    <m/>
    <m/>
    <m/>
    <n v="0"/>
  </r>
  <r>
    <n v="-15"/>
    <s v="PROCESSO"/>
    <n v="15"/>
    <m/>
    <s v="FIAçãO"/>
    <n v="16"/>
    <s v="APTO"/>
    <n v="0"/>
    <d v="2022-02-02T00:00:00"/>
    <d v="2022-03-03T00:00:00"/>
    <x v="26"/>
    <n v="20"/>
    <n v="20538.099999999999"/>
    <m/>
    <m/>
    <m/>
    <m/>
    <m/>
    <m/>
  </r>
  <r>
    <s v="   15.1"/>
    <s v="atividade"/>
    <s v="PAV 1"/>
    <s v="FIAçãO"/>
    <s v="EST/ACAB-&gt;PAV 1"/>
    <n v="4"/>
    <s v="APTO"/>
    <n v="0"/>
    <d v="2022-02-02T00:00:00"/>
    <d v="2022-02-09T00:00:00"/>
    <x v="24"/>
    <n v="5"/>
    <n v="5130.3"/>
    <n v="0"/>
    <m/>
    <m/>
    <m/>
    <m/>
    <n v="0"/>
  </r>
  <r>
    <s v="   15.2"/>
    <s v="atividade"/>
    <s v="PAV 2"/>
    <s v="FIAçãO"/>
    <s v="EST/ACAB-&gt;PAV 2"/>
    <n v="4"/>
    <s v="APTO"/>
    <n v="0"/>
    <d v="2022-02-09T00:00:00"/>
    <d v="2022-02-16T00:00:00"/>
    <x v="23"/>
    <n v="5"/>
    <n v="5135.8999999999996"/>
    <n v="0"/>
    <m/>
    <m/>
    <m/>
    <m/>
    <n v="0"/>
  </r>
  <r>
    <s v="   15.3"/>
    <s v="atividade"/>
    <s v="PAV 3"/>
    <s v="FIAçãO"/>
    <s v="EST/ACAB-&gt;PAV 3"/>
    <n v="4"/>
    <s v="APTO"/>
    <n v="0"/>
    <d v="2022-02-16T00:00:00"/>
    <d v="2022-02-24T00:00:00"/>
    <x v="25"/>
    <n v="5"/>
    <n v="5135.8999999999996"/>
    <n v="0"/>
    <m/>
    <m/>
    <m/>
    <m/>
    <n v="0"/>
  </r>
  <r>
    <s v="   15.4"/>
    <s v="atividade"/>
    <s v="PAV 4"/>
    <s v="FIAçãO"/>
    <s v="EST/ACAB-&gt;PAV 4"/>
    <n v="4"/>
    <s v="APTO"/>
    <n v="0"/>
    <d v="2022-02-24T00:00:00"/>
    <d v="2022-03-03T00:00:00"/>
    <x v="26"/>
    <n v="5"/>
    <n v="5135.8999999999996"/>
    <n v="0"/>
    <m/>
    <m/>
    <m/>
    <m/>
    <n v="0"/>
  </r>
  <r>
    <n v="-16"/>
    <s v="PROCESSO"/>
    <n v="16"/>
    <m/>
    <s v="FORRO"/>
    <n v="234.3"/>
    <s v="M²"/>
    <n v="0"/>
    <d v="2022-02-16T00:00:00"/>
    <d v="2022-03-17T00:00:00"/>
    <x v="27"/>
    <n v="20"/>
    <n v="9190"/>
    <m/>
    <m/>
    <m/>
    <m/>
    <m/>
    <m/>
  </r>
  <r>
    <s v="   16.1"/>
    <s v="atividade"/>
    <s v="PAV 1"/>
    <s v="FORRO"/>
    <s v="EST/ACAB-&gt;PAV 1"/>
    <n v="58.58"/>
    <s v="M²"/>
    <n v="0"/>
    <d v="2022-02-16T00:00:00"/>
    <d v="2022-02-24T00:00:00"/>
    <x v="25"/>
    <n v="5"/>
    <n v="2297.5"/>
    <n v="0"/>
    <m/>
    <m/>
    <m/>
    <m/>
    <n v="0"/>
  </r>
  <r>
    <s v="   16.2"/>
    <s v="atividade"/>
    <s v="PAV 2"/>
    <s v="FORRO"/>
    <s v="EST/ACAB-&gt;PAV 2"/>
    <n v="58.58"/>
    <s v="M²"/>
    <n v="0"/>
    <d v="2022-02-24T00:00:00"/>
    <d v="2022-03-03T00:00:00"/>
    <x v="26"/>
    <n v="5"/>
    <n v="2297.5"/>
    <n v="0"/>
    <m/>
    <m/>
    <m/>
    <m/>
    <n v="0"/>
  </r>
  <r>
    <s v="   16.3"/>
    <s v="atividade"/>
    <s v="PAV 3"/>
    <s v="FORRO"/>
    <s v="EST/ACAB-&gt;PAV 3"/>
    <n v="58.58"/>
    <s v="M²"/>
    <n v="0"/>
    <d v="2022-03-03T00:00:00"/>
    <d v="2022-03-10T00:00:00"/>
    <x v="28"/>
    <n v="5"/>
    <n v="2297.5"/>
    <n v="0"/>
    <m/>
    <m/>
    <m/>
    <m/>
    <n v="0"/>
  </r>
  <r>
    <s v="   16.4"/>
    <s v="atividade"/>
    <s v="PAV 4"/>
    <s v="FORRO"/>
    <s v="EST/ACAB-&gt;PAV 4"/>
    <n v="58.58"/>
    <s v="M²"/>
    <n v="0"/>
    <d v="2022-03-10T00:00:00"/>
    <d v="2022-03-17T00:00:00"/>
    <x v="27"/>
    <n v="5"/>
    <n v="2297.5"/>
    <n v="0"/>
    <m/>
    <m/>
    <m/>
    <m/>
    <n v="0"/>
  </r>
  <r>
    <n v="-17"/>
    <s v="PROCESSO"/>
    <n v="17"/>
    <m/>
    <s v="DISJUNTORES E CD"/>
    <n v="16"/>
    <s v="APTO"/>
    <n v="0"/>
    <d v="2022-02-24T00:00:00"/>
    <d v="2022-03-24T00:00:00"/>
    <x v="29"/>
    <n v="20"/>
    <n v="5600"/>
    <m/>
    <m/>
    <m/>
    <m/>
    <m/>
    <m/>
  </r>
  <r>
    <s v="   17.1"/>
    <s v="atividade"/>
    <s v="PAV 1"/>
    <s v="DISJUNTORES E CD"/>
    <s v="EST/ACAB-&gt;PAV 1"/>
    <n v="4"/>
    <s v="APTO"/>
    <n v="0"/>
    <d v="2022-02-24T00:00:00"/>
    <d v="2022-03-03T00:00:00"/>
    <x v="26"/>
    <n v="5"/>
    <n v="1400"/>
    <n v="0"/>
    <m/>
    <m/>
    <m/>
    <m/>
    <n v="0"/>
  </r>
  <r>
    <s v="   17.2"/>
    <s v="atividade"/>
    <s v="PAV 2"/>
    <s v="DISJUNTORES E CD"/>
    <s v="EST/ACAB-&gt;PAV 2"/>
    <n v="4"/>
    <s v="APTO"/>
    <n v="0"/>
    <d v="2022-03-03T00:00:00"/>
    <d v="2022-03-10T00:00:00"/>
    <x v="28"/>
    <n v="5"/>
    <n v="1400"/>
    <n v="0"/>
    <m/>
    <m/>
    <m/>
    <m/>
    <n v="0"/>
  </r>
  <r>
    <s v="   17.3"/>
    <s v="atividade"/>
    <s v="PAV 3"/>
    <s v="DISJUNTORES E CD"/>
    <s v="EST/ACAB-&gt;PAV 3"/>
    <n v="4"/>
    <s v="APTO"/>
    <n v="0"/>
    <d v="2022-03-10T00:00:00"/>
    <d v="2022-03-17T00:00:00"/>
    <x v="27"/>
    <n v="5"/>
    <n v="1400"/>
    <n v="0"/>
    <m/>
    <m/>
    <m/>
    <m/>
    <n v="0"/>
  </r>
  <r>
    <s v="   17.4"/>
    <s v="atividade"/>
    <s v="PAV 4"/>
    <s v="DISJUNTORES E CD"/>
    <s v="EST/ACAB-&gt;PAV 4"/>
    <n v="4"/>
    <s v="APTO"/>
    <n v="0"/>
    <d v="2022-03-17T00:00:00"/>
    <d v="2022-03-24T00:00:00"/>
    <x v="29"/>
    <n v="5"/>
    <n v="1400"/>
    <n v="0"/>
    <m/>
    <m/>
    <m/>
    <m/>
    <n v="0"/>
  </r>
  <r>
    <n v="-18"/>
    <s v="PROCESSO"/>
    <n v="18"/>
    <m/>
    <s v="REVESTIMENTO DA CIRCULAçãO"/>
    <n v="311.93"/>
    <s v="M²"/>
    <n v="0"/>
    <d v="2022-02-24T00:00:00"/>
    <d v="2022-03-24T00:00:00"/>
    <x v="29"/>
    <n v="20"/>
    <n v="14469.2"/>
    <m/>
    <m/>
    <m/>
    <m/>
    <m/>
    <m/>
  </r>
  <r>
    <s v="   18.1"/>
    <s v="atividade"/>
    <s v="PAV 1"/>
    <s v="REVESTIMENTO DA CIRCULAçãO"/>
    <s v="EST/ACAB-&gt;PAV 1"/>
    <n v="106.44"/>
    <s v="M²"/>
    <n v="0"/>
    <d v="2022-02-24T00:00:00"/>
    <d v="2022-03-03T00:00:00"/>
    <x v="26"/>
    <n v="5"/>
    <n v="4908.7"/>
    <n v="0"/>
    <m/>
    <m/>
    <m/>
    <m/>
    <n v="0"/>
  </r>
  <r>
    <s v="   18.2"/>
    <s v="atividade"/>
    <s v="PAV 2"/>
    <s v="REVESTIMENTO DA CIRCULAçãO"/>
    <s v="EST/ACAB-&gt;PAV 2"/>
    <n v="77.150000000000006"/>
    <s v="M²"/>
    <n v="0"/>
    <d v="2022-03-03T00:00:00"/>
    <d v="2022-03-10T00:00:00"/>
    <x v="28"/>
    <n v="5"/>
    <n v="3892.2"/>
    <n v="0"/>
    <m/>
    <m/>
    <m/>
    <m/>
    <n v="0"/>
  </r>
  <r>
    <s v="   18.3"/>
    <s v="atividade"/>
    <s v="PAV 3"/>
    <s v="REVESTIMENTO DA CIRCULAçãO"/>
    <s v="EST/ACAB-&gt;PAV 3"/>
    <n v="77.150000000000006"/>
    <s v="M²"/>
    <n v="0"/>
    <d v="2022-03-10T00:00:00"/>
    <d v="2022-03-17T00:00:00"/>
    <x v="27"/>
    <n v="5"/>
    <n v="3892.2"/>
    <n v="0"/>
    <m/>
    <m/>
    <m/>
    <m/>
    <n v="0"/>
  </r>
  <r>
    <s v="   18.4"/>
    <s v="atividade"/>
    <s v="PAV 4"/>
    <s v="REVESTIMENTO DA CIRCULAçãO"/>
    <s v="EST/ACAB-&gt;PAV 4"/>
    <n v="51.19"/>
    <s v="M²"/>
    <n v="0"/>
    <d v="2022-03-17T00:00:00"/>
    <d v="2022-03-24T00:00:00"/>
    <x v="29"/>
    <n v="5"/>
    <n v="1776.1"/>
    <n v="0"/>
    <m/>
    <m/>
    <m/>
    <m/>
    <n v="0"/>
  </r>
  <r>
    <n v="-19"/>
    <s v="PROCESSO"/>
    <n v="19"/>
    <m/>
    <s v="PINTURA INTERNA - 1ªDMãO"/>
    <n v="2458.25"/>
    <s v="M²"/>
    <n v="0"/>
    <d v="2022-03-03T00:00:00"/>
    <d v="2022-03-31T00:00:00"/>
    <x v="30"/>
    <n v="20"/>
    <n v="59198.6"/>
    <m/>
    <m/>
    <m/>
    <m/>
    <m/>
    <m/>
  </r>
  <r>
    <s v="   19.1"/>
    <s v="atividade"/>
    <s v="PAV 1"/>
    <s v="PINTURA INTERNA - 1ªDMãO"/>
    <s v="EST/ACAB-&gt;PAV 1"/>
    <n v="613.75"/>
    <s v="M²"/>
    <n v="0"/>
    <d v="2022-03-03T00:00:00"/>
    <d v="2022-03-10T00:00:00"/>
    <x v="28"/>
    <n v="5"/>
    <n v="14782.4"/>
    <n v="0"/>
    <m/>
    <m/>
    <m/>
    <m/>
    <n v="0"/>
  </r>
  <r>
    <s v="   19.2"/>
    <s v="atividade"/>
    <s v="PAV 2"/>
    <s v="PINTURA INTERNA - 1ªDMãO"/>
    <s v="EST/ACAB-&gt;PAV 2"/>
    <n v="614.85"/>
    <s v="M²"/>
    <n v="0"/>
    <d v="2022-03-10T00:00:00"/>
    <d v="2022-03-17T00:00:00"/>
    <x v="27"/>
    <n v="5"/>
    <n v="14806.1"/>
    <n v="0"/>
    <m/>
    <m/>
    <m/>
    <m/>
    <n v="0"/>
  </r>
  <r>
    <s v="   19.3"/>
    <s v="atividade"/>
    <s v="PAV 3"/>
    <s v="PINTURA INTERNA - 1ªDMãO"/>
    <s v="EST/ACAB-&gt;PAV 3"/>
    <n v="614.85"/>
    <s v="M²"/>
    <n v="0"/>
    <d v="2022-03-17T00:00:00"/>
    <d v="2022-03-24T00:00:00"/>
    <x v="29"/>
    <n v="5"/>
    <n v="14806.1"/>
    <n v="0"/>
    <m/>
    <m/>
    <m/>
    <m/>
    <n v="0"/>
  </r>
  <r>
    <s v="   19.4"/>
    <s v="atividade"/>
    <s v="PAV 4"/>
    <s v="PINTURA INTERNA - 1ªDMãO"/>
    <s v="EST/ACAB-&gt;PAV 4"/>
    <n v="614.79"/>
    <s v="M²"/>
    <n v="0"/>
    <d v="2022-03-24T00:00:00"/>
    <d v="2022-03-31T00:00:00"/>
    <x v="30"/>
    <n v="5"/>
    <n v="14804"/>
    <n v="0"/>
    <m/>
    <m/>
    <m/>
    <m/>
    <n v="0"/>
  </r>
  <r>
    <n v="-20"/>
    <s v="PROCESSO"/>
    <n v="20"/>
    <m/>
    <s v="ESQUADRIAS DE FERRO"/>
    <n v="16.7"/>
    <s v="M"/>
    <n v="0"/>
    <d v="2022-03-22T00:00:00"/>
    <d v="2022-03-25T00:00:00"/>
    <x v="29"/>
    <n v="3"/>
    <n v="8216.1"/>
    <m/>
    <m/>
    <m/>
    <m/>
    <m/>
    <m/>
  </r>
  <r>
    <s v="   20.1"/>
    <s v="atividade"/>
    <s v="PAV 2"/>
    <s v="ESQUADRIAS DE FERRO"/>
    <s v="EST/ACAB-&gt;PAV 2"/>
    <n v="5.57"/>
    <s v="M"/>
    <n v="0"/>
    <d v="2022-03-22T00:00:00"/>
    <d v="2022-03-23T00:00:00"/>
    <x v="29"/>
    <n v="1"/>
    <n v="2738.7"/>
    <n v="0"/>
    <m/>
    <m/>
    <m/>
    <m/>
    <n v="0"/>
  </r>
  <r>
    <s v="   20.2"/>
    <s v="atividade"/>
    <s v="PAV 3"/>
    <s v="ESQUADRIAS DE FERRO"/>
    <s v="EST/ACAB-&gt;PAV 3"/>
    <n v="5.57"/>
    <s v="M"/>
    <n v="0"/>
    <d v="2022-03-23T00:00:00"/>
    <d v="2022-03-24T00:00:00"/>
    <x v="29"/>
    <n v="1"/>
    <n v="2738.7"/>
    <n v="0"/>
    <m/>
    <m/>
    <m/>
    <m/>
    <n v="0"/>
  </r>
  <r>
    <s v="   20.3"/>
    <s v="atividade"/>
    <s v="PAV 4"/>
    <s v="ESQUADRIAS DE FERRO"/>
    <s v="EST/ACAB-&gt;PAV 4"/>
    <n v="5.57"/>
    <s v="M"/>
    <n v="0"/>
    <d v="2022-03-24T00:00:00"/>
    <d v="2022-03-25T00:00:00"/>
    <x v="29"/>
    <n v="1"/>
    <n v="2738.7"/>
    <n v="0"/>
    <m/>
    <m/>
    <m/>
    <m/>
    <n v="0"/>
  </r>
  <r>
    <n v="-21"/>
    <s v="PROCESSO"/>
    <n v="21"/>
    <m/>
    <s v="LOUçAS"/>
    <n v="128"/>
    <s v="TORRE"/>
    <n v="0"/>
    <d v="2022-03-10T00:00:00"/>
    <d v="2022-04-07T00:00:00"/>
    <x v="31"/>
    <n v="20"/>
    <n v="20944.099999999999"/>
    <m/>
    <m/>
    <m/>
    <m/>
    <m/>
    <m/>
  </r>
  <r>
    <s v="   21.1"/>
    <s v="atividade"/>
    <s v="PAV 1"/>
    <s v="LOUçAS"/>
    <s v="EST/ACAB-&gt;PAV 1"/>
    <n v="32"/>
    <s v="TORRE"/>
    <n v="0"/>
    <d v="2022-03-10T00:00:00"/>
    <d v="2022-03-17T00:00:00"/>
    <x v="27"/>
    <n v="5"/>
    <n v="5236"/>
    <n v="0"/>
    <m/>
    <m/>
    <m/>
    <m/>
    <n v="0"/>
  </r>
  <r>
    <s v="   21.2"/>
    <s v="atividade"/>
    <s v="PAV 2"/>
    <s v="LOUçAS"/>
    <s v="EST/ACAB-&gt;PAV 2"/>
    <n v="32"/>
    <s v="TORRE"/>
    <n v="0"/>
    <d v="2022-03-17T00:00:00"/>
    <d v="2022-03-24T00:00:00"/>
    <x v="29"/>
    <n v="5"/>
    <n v="5236"/>
    <n v="0"/>
    <m/>
    <m/>
    <m/>
    <m/>
    <n v="0"/>
  </r>
  <r>
    <s v="   21.3"/>
    <s v="atividade"/>
    <s v="PAV 3"/>
    <s v="LOUçAS"/>
    <s v="EST/ACAB-&gt;PAV 3"/>
    <n v="32"/>
    <s v="TORRE"/>
    <n v="0"/>
    <d v="2022-03-24T00:00:00"/>
    <d v="2022-03-31T00:00:00"/>
    <x v="30"/>
    <n v="5"/>
    <n v="5236"/>
    <n v="0"/>
    <m/>
    <m/>
    <m/>
    <m/>
    <n v="0"/>
  </r>
  <r>
    <s v="   21.4"/>
    <s v="atividade"/>
    <s v="PAV 4"/>
    <s v="LOUçAS"/>
    <s v="EST/ACAB-&gt;PAV 4"/>
    <n v="32"/>
    <s v="TORRE"/>
    <n v="0"/>
    <d v="2022-03-31T00:00:00"/>
    <d v="2022-04-07T00:00:00"/>
    <x v="31"/>
    <n v="5"/>
    <n v="5236"/>
    <n v="0"/>
    <m/>
    <m/>
    <m/>
    <m/>
    <n v="0"/>
  </r>
  <r>
    <n v="-22"/>
    <s v="PROCESSO"/>
    <n v="22"/>
    <m/>
    <s v="PISO VINILICO"/>
    <n v="647.01"/>
    <s v="M²"/>
    <n v="0"/>
    <d v="2022-04-07T00:00:00"/>
    <d v="2022-05-05T00:00:00"/>
    <x v="32"/>
    <n v="20"/>
    <n v="52685"/>
    <m/>
    <m/>
    <m/>
    <m/>
    <m/>
    <m/>
  </r>
  <r>
    <s v="   22.1"/>
    <s v="atividade"/>
    <s v="PAV 1"/>
    <s v="PISO VINILICO"/>
    <s v="EST/ACAB-&gt;PAV 1"/>
    <n v="161.75"/>
    <s v="M²"/>
    <n v="0"/>
    <d v="2022-04-07T00:00:00"/>
    <d v="2022-04-14T00:00:00"/>
    <x v="33"/>
    <n v="5"/>
    <n v="13171.3"/>
    <n v="0"/>
    <m/>
    <m/>
    <m/>
    <m/>
    <n v="0"/>
  </r>
  <r>
    <s v="   22.2"/>
    <s v="atividade"/>
    <s v="PAV 2"/>
    <s v="PISO VINILICO"/>
    <s v="EST/ACAB-&gt;PAV 2"/>
    <n v="161.75"/>
    <s v="M²"/>
    <n v="0"/>
    <d v="2022-04-14T00:00:00"/>
    <d v="2022-04-21T00:00:00"/>
    <x v="34"/>
    <n v="5"/>
    <n v="13171.3"/>
    <n v="0"/>
    <m/>
    <m/>
    <m/>
    <m/>
    <n v="0"/>
  </r>
  <r>
    <s v="   22.3"/>
    <s v="atividade"/>
    <s v="PAV 3"/>
    <s v="PISO VINILICO"/>
    <s v="EST/ACAB-&gt;PAV 3"/>
    <n v="161.75"/>
    <s v="M²"/>
    <n v="0"/>
    <d v="2022-04-21T00:00:00"/>
    <d v="2022-04-28T00:00:00"/>
    <x v="35"/>
    <n v="5"/>
    <n v="13171.3"/>
    <n v="0"/>
    <m/>
    <m/>
    <m/>
    <m/>
    <n v="0"/>
  </r>
  <r>
    <s v="   22.4"/>
    <s v="atividade"/>
    <s v="PAV 4"/>
    <s v="PISO VINILICO"/>
    <s v="EST/ACAB-&gt;PAV 4"/>
    <n v="161.75"/>
    <s v="M²"/>
    <n v="0"/>
    <d v="2022-04-28T00:00:00"/>
    <d v="2022-05-05T00:00:00"/>
    <x v="32"/>
    <n v="5"/>
    <n v="13171.3"/>
    <n v="0"/>
    <m/>
    <m/>
    <m/>
    <m/>
    <n v="0"/>
  </r>
  <r>
    <n v="-30"/>
    <s v="PROCESSO"/>
    <n v="23"/>
    <m/>
    <s v="PORTAS DE MADEIRA"/>
    <n v="80"/>
    <s v="UN"/>
    <n v="0"/>
    <d v="2022-03-31T00:00:00"/>
    <d v="2022-04-14T00:00:00"/>
    <x v="33"/>
    <n v="10"/>
    <n v="41600"/>
    <m/>
    <m/>
    <m/>
    <m/>
    <m/>
    <m/>
  </r>
  <r>
    <s v="   30.1"/>
    <s v="atividade"/>
    <s v="PAV 1"/>
    <s v="PORTAS DE MADEIRA"/>
    <s v="EST/ACAB-&gt;PAV 1"/>
    <n v="20"/>
    <s v="UN"/>
    <n v="0"/>
    <d v="2022-03-31T00:00:00"/>
    <d v="2022-04-04T00:00:00"/>
    <x v="31"/>
    <n v="2.5"/>
    <n v="10400"/>
    <n v="0"/>
    <m/>
    <m/>
    <m/>
    <m/>
    <n v="0"/>
  </r>
  <r>
    <s v="   30.2"/>
    <s v="atividade"/>
    <s v="PAV 2"/>
    <s v="PORTAS DE MADEIRA"/>
    <s v="EST/ACAB-&gt;PAV 2"/>
    <n v="20"/>
    <s v="UN"/>
    <n v="0"/>
    <d v="2022-04-04T00:00:00"/>
    <d v="2022-04-07T00:00:00"/>
    <x v="31"/>
    <n v="2.5"/>
    <n v="10400"/>
    <n v="0"/>
    <m/>
    <m/>
    <m/>
    <m/>
    <n v="0"/>
  </r>
  <r>
    <s v="   30.3"/>
    <s v="atividade"/>
    <s v="PAV 3"/>
    <s v="PORTAS DE MADEIRA"/>
    <s v="EST/ACAB-&gt;PAV 3"/>
    <n v="20"/>
    <s v="UN"/>
    <n v="0"/>
    <d v="2022-04-07T00:00:00"/>
    <d v="2022-04-11T00:00:00"/>
    <x v="33"/>
    <n v="2.5"/>
    <n v="10400"/>
    <n v="0"/>
    <m/>
    <m/>
    <m/>
    <m/>
    <n v="0"/>
  </r>
  <r>
    <s v="   30.4"/>
    <s v="atividade"/>
    <s v="PAV 4"/>
    <s v="PORTAS DE MADEIRA"/>
    <s v="EST/ACAB-&gt;PAV 4"/>
    <n v="20"/>
    <s v="UN"/>
    <n v="0"/>
    <d v="2022-04-11T00:00:00"/>
    <d v="2022-04-14T00:00:00"/>
    <x v="33"/>
    <n v="2.5"/>
    <n v="10400"/>
    <n v="0"/>
    <m/>
    <m/>
    <m/>
    <m/>
    <n v="0"/>
  </r>
  <r>
    <n v="-23"/>
    <s v="PROCESSO"/>
    <n v="24"/>
    <m/>
    <s v="METAIS "/>
    <n v="96"/>
    <s v="TORRE"/>
    <n v="0"/>
    <d v="2022-04-25T00:00:00"/>
    <d v="2022-05-09T00:00:00"/>
    <x v="36"/>
    <n v="10"/>
    <n v="5360.2"/>
    <m/>
    <m/>
    <m/>
    <m/>
    <m/>
    <m/>
  </r>
  <r>
    <s v="   23.1"/>
    <s v="atividade"/>
    <s v="PAV 1"/>
    <s v="METAIS "/>
    <s v="EST/ACAB-&gt;PAV 1"/>
    <n v="24"/>
    <s v="TORRE"/>
    <n v="0"/>
    <d v="2022-04-25T00:00:00"/>
    <d v="2022-04-28T00:00:00"/>
    <x v="35"/>
    <n v="2.5"/>
    <n v="1340"/>
    <n v="0"/>
    <m/>
    <m/>
    <m/>
    <m/>
    <n v="0"/>
  </r>
  <r>
    <s v="   23.2"/>
    <s v="atividade"/>
    <s v="PAV 2"/>
    <s v="METAIS "/>
    <s v="EST/ACAB-&gt;PAV 2"/>
    <n v="24"/>
    <s v="TORRE"/>
    <n v="0"/>
    <d v="2022-04-28T00:00:00"/>
    <d v="2022-05-02T00:00:00"/>
    <x v="32"/>
    <n v="2.5"/>
    <n v="1340"/>
    <n v="0"/>
    <m/>
    <m/>
    <m/>
    <m/>
    <n v="0"/>
  </r>
  <r>
    <s v="   23.3"/>
    <s v="atividade"/>
    <s v="PAV 3"/>
    <s v="METAIS "/>
    <s v="EST/ACAB-&gt;PAV 3"/>
    <n v="24"/>
    <s v="TORRE"/>
    <n v="0"/>
    <d v="2022-05-02T00:00:00"/>
    <d v="2022-05-05T00:00:00"/>
    <x v="32"/>
    <n v="2.5"/>
    <n v="1340"/>
    <n v="0"/>
    <m/>
    <m/>
    <m/>
    <m/>
    <n v="0"/>
  </r>
  <r>
    <s v="   23.4"/>
    <s v="atividade"/>
    <s v="PAV 4"/>
    <s v="METAIS "/>
    <s v="EST/ACAB-&gt;PAV 4"/>
    <n v="24"/>
    <s v="TORRE"/>
    <n v="0"/>
    <d v="2022-05-05T00:00:00"/>
    <d v="2022-05-09T00:00:00"/>
    <x v="36"/>
    <n v="2.5"/>
    <n v="1340"/>
    <n v="0"/>
    <m/>
    <m/>
    <m/>
    <m/>
    <n v="0"/>
  </r>
  <r>
    <n v="-24"/>
    <s v="PROCESSO"/>
    <n v="26"/>
    <m/>
    <s v="PINTURA FINAL"/>
    <n v="2458.25"/>
    <s v="M²"/>
    <n v="0"/>
    <d v="2022-04-28T00:00:00"/>
    <d v="2022-05-26T00:00:00"/>
    <x v="37"/>
    <n v="20"/>
    <n v="14749.5"/>
    <m/>
    <m/>
    <m/>
    <m/>
    <m/>
    <m/>
  </r>
  <r>
    <s v="   24.1"/>
    <s v="atividade"/>
    <s v="PAV 1"/>
    <s v="PINTURA FINAL"/>
    <s v="EST/ACAB-&gt;PAV 1"/>
    <n v="613.75"/>
    <s v="M²"/>
    <n v="0"/>
    <d v="2022-04-28T00:00:00"/>
    <d v="2022-05-05T00:00:00"/>
    <x v="32"/>
    <n v="5"/>
    <n v="3682.5"/>
    <n v="0"/>
    <m/>
    <m/>
    <m/>
    <m/>
    <n v="0"/>
  </r>
  <r>
    <s v="   24.2"/>
    <s v="atividade"/>
    <s v="PAV 2"/>
    <s v="PINTURA FINAL"/>
    <s v="EST/ACAB-&gt;PAV 2"/>
    <n v="614.85"/>
    <s v="M²"/>
    <n v="0"/>
    <d v="2022-05-05T00:00:00"/>
    <d v="2022-05-12T00:00:00"/>
    <x v="36"/>
    <n v="5"/>
    <n v="3689.1"/>
    <n v="0"/>
    <m/>
    <m/>
    <m/>
    <m/>
    <n v="0"/>
  </r>
  <r>
    <s v="   24.3"/>
    <s v="atividade"/>
    <s v="PAV 3"/>
    <s v="PINTURA FINAL"/>
    <s v="EST/ACAB-&gt;PAV 3"/>
    <n v="614.85"/>
    <s v="M²"/>
    <n v="0"/>
    <d v="2022-05-12T00:00:00"/>
    <d v="2022-05-19T00:00:00"/>
    <x v="38"/>
    <n v="5"/>
    <n v="3689.1"/>
    <n v="0"/>
    <m/>
    <m/>
    <m/>
    <m/>
    <n v="0"/>
  </r>
  <r>
    <s v="   24.4"/>
    <s v="atividade"/>
    <s v="PAV 4"/>
    <s v="PINTURA FINAL"/>
    <s v="EST/ACAB-&gt;PAV 4"/>
    <n v="614.79"/>
    <s v="M²"/>
    <n v="0"/>
    <d v="2022-05-19T00:00:00"/>
    <d v="2022-05-26T00:00:00"/>
    <x v="37"/>
    <n v="5"/>
    <n v="3688.8"/>
    <n v="0"/>
    <m/>
    <m/>
    <m/>
    <m/>
    <n v="0"/>
  </r>
  <r>
    <n v="-25"/>
    <s v="PROCESSO"/>
    <n v="27"/>
    <m/>
    <s v="TELHADO "/>
    <n v="40"/>
    <s v="UN"/>
    <n v="0"/>
    <d v="2021-12-09T00:00:00"/>
    <d v="2021-12-16T00:00:00"/>
    <x v="16"/>
    <n v="5"/>
    <n v="51093"/>
    <m/>
    <m/>
    <m/>
    <m/>
    <m/>
    <m/>
  </r>
  <r>
    <s v="   25.1"/>
    <s v="atividade"/>
    <s v="COB"/>
    <s v="TELHADO "/>
    <s v="EST/ACAB-&gt;COB"/>
    <n v="40"/>
    <s v="UN"/>
    <n v="0"/>
    <d v="2021-12-09T00:00:00"/>
    <d v="2021-12-16T00:00:00"/>
    <x v="16"/>
    <n v="5"/>
    <n v="51093"/>
    <n v="0"/>
    <m/>
    <m/>
    <m/>
    <m/>
    <n v="0"/>
  </r>
  <r>
    <n v="-26"/>
    <s v="PROCESSO"/>
    <n v="28"/>
    <m/>
    <s v="ALGEROSA + RUFOS"/>
    <n v="1"/>
    <s v="TORRE"/>
    <n v="0"/>
    <d v="2021-12-16T00:00:00"/>
    <d v="2021-12-23T00:00:00"/>
    <x v="15"/>
    <n v="5"/>
    <n v="10092.299999999999"/>
    <m/>
    <m/>
    <m/>
    <m/>
    <m/>
    <m/>
  </r>
  <r>
    <s v="   26.1"/>
    <s v="atividade"/>
    <s v="COB"/>
    <s v="ALGEROSA + RUFOS"/>
    <s v="EST/ACAB-&gt;COB"/>
    <n v="1"/>
    <s v="TORRE"/>
    <n v="0"/>
    <d v="2021-12-16T00:00:00"/>
    <d v="2021-12-23T00:00:00"/>
    <x v="15"/>
    <n v="5"/>
    <n v="10092.299999999999"/>
    <n v="0"/>
    <m/>
    <m/>
    <m/>
    <m/>
    <n v="0"/>
  </r>
  <r>
    <n v="-27"/>
    <s v="PROCESSO"/>
    <n v="29"/>
    <m/>
    <s v="COMPLEMENTAçãO E LIMPEZA"/>
    <n v="1"/>
    <s v="TORRE"/>
    <n v="0"/>
    <d v="2022-05-26T00:00:00"/>
    <d v="2022-06-03T00:00:00"/>
    <x v="39"/>
    <n v="5"/>
    <n v="2000"/>
    <m/>
    <m/>
    <m/>
    <m/>
    <m/>
    <m/>
  </r>
  <r>
    <s v="   27.1"/>
    <s v="atividade"/>
    <s v="EST/ACAB"/>
    <s v="COMPLEMENTAçãO E LIMPEZA"/>
    <s v="EST/ACAB"/>
    <n v="1"/>
    <s v="TORRE"/>
    <n v="0"/>
    <d v="2022-05-26T00:00:00"/>
    <d v="2022-06-03T00:00:00"/>
    <x v="39"/>
    <n v="5"/>
    <n v="2000"/>
    <n v="0"/>
    <m/>
    <m/>
    <m/>
    <m/>
    <n v="0"/>
  </r>
  <r>
    <n v="-28"/>
    <s v="PROCESSO"/>
    <n v="30"/>
    <m/>
    <s v="REBOCO EXTERNO"/>
    <n v="745.27"/>
    <s v="M²"/>
    <n v="0"/>
    <d v="2021-12-03T00:00:00"/>
    <d v="2022-01-14T00:00:00"/>
    <x v="20"/>
    <n v="30"/>
    <n v="82892.7"/>
    <m/>
    <m/>
    <m/>
    <m/>
    <m/>
    <m/>
  </r>
  <r>
    <s v="   28.3"/>
    <s v="atividade"/>
    <s v="DIREITA"/>
    <s v="REBOCO EXTERNO"/>
    <s v="FAC-&gt;DIREITA"/>
    <n v="124.93"/>
    <s v="M²"/>
    <n v="0"/>
    <d v="2021-12-24T00:00:00"/>
    <d v="2021-12-31T00:00:00"/>
    <x v="17"/>
    <n v="5"/>
    <n v="11086.4"/>
    <n v="0"/>
    <m/>
    <m/>
    <m/>
    <m/>
    <n v="0"/>
  </r>
  <r>
    <s v="   28.1"/>
    <s v="atividade"/>
    <s v="ESQUERDA"/>
    <s v="REBOCO EXTERNO"/>
    <s v="FAC-&gt;ESQUERDA"/>
    <n v="126.24"/>
    <s v="M²"/>
    <n v="0"/>
    <d v="2021-12-03T00:00:00"/>
    <d v="2021-12-10T00:00:00"/>
    <x v="14"/>
    <n v="5"/>
    <n v="11162.8"/>
    <n v="0"/>
    <m/>
    <m/>
    <m/>
    <m/>
    <n v="0"/>
  </r>
  <r>
    <s v="   28.4"/>
    <s v="atividade"/>
    <s v="FRONTAL"/>
    <s v="REBOCO EXTERNO"/>
    <s v="FAC-&gt;FRONTAL"/>
    <n v="255.83"/>
    <s v="M²"/>
    <n v="0"/>
    <d v="2021-12-31T00:00:00"/>
    <d v="2022-01-14T00:00:00"/>
    <x v="20"/>
    <n v="10"/>
    <n v="31231"/>
    <n v="0"/>
    <m/>
    <m/>
    <m/>
    <m/>
    <n v="0"/>
  </r>
  <r>
    <s v="   28.2"/>
    <s v="atividade"/>
    <s v="FUNDOS"/>
    <s v="REBOCO EXTERNO"/>
    <s v="FAC-&gt;FUNDOS"/>
    <n v="238.27"/>
    <s v="M²"/>
    <n v="0"/>
    <d v="2021-12-10T00:00:00"/>
    <d v="2021-12-24T00:00:00"/>
    <x v="15"/>
    <n v="10"/>
    <n v="29412.400000000001"/>
    <n v="0"/>
    <m/>
    <m/>
    <m/>
    <m/>
    <n v="0"/>
  </r>
  <r>
    <n v="-29"/>
    <s v="PROCESSO"/>
    <n v="31"/>
    <m/>
    <s v="PINTURA EXTERNA"/>
    <n v="745.27"/>
    <s v="M²/M²"/>
    <n v="0"/>
    <d v="2022-03-10T00:00:00"/>
    <d v="2022-04-21T00:00:00"/>
    <x v="34"/>
    <n v="30"/>
    <n v="37045"/>
    <m/>
    <m/>
    <m/>
    <m/>
    <m/>
    <m/>
  </r>
  <r>
    <s v="   29.3"/>
    <s v="atividade"/>
    <s v="DIREITA"/>
    <s v="PINTURA EXTERNA"/>
    <s v="FAC-&gt;DIREITA"/>
    <n v="124.93"/>
    <s v="M²/M²"/>
    <n v="0"/>
    <d v="2022-03-31T00:00:00"/>
    <d v="2022-04-07T00:00:00"/>
    <x v="31"/>
    <n v="5"/>
    <n v="6209.8"/>
    <n v="0"/>
    <m/>
    <m/>
    <m/>
    <m/>
    <n v="0"/>
  </r>
  <r>
    <s v="   29.1"/>
    <s v="atividade"/>
    <s v="ESQUERDA"/>
    <s v="PINTURA EXTERNA"/>
    <s v="FAC-&gt;ESQUERDA"/>
    <n v="126.24"/>
    <s v="M²/M²"/>
    <n v="0"/>
    <d v="2022-03-10T00:00:00"/>
    <d v="2022-03-17T00:00:00"/>
    <x v="27"/>
    <n v="5"/>
    <n v="6275.3"/>
    <n v="0"/>
    <m/>
    <m/>
    <m/>
    <m/>
    <n v="0"/>
  </r>
  <r>
    <s v="   29.4"/>
    <s v="atividade"/>
    <s v="FRONTAL"/>
    <s v="PINTURA EXTERNA"/>
    <s v="FAC-&gt;FRONTAL"/>
    <n v="255.83"/>
    <s v="M²/M²"/>
    <n v="0"/>
    <d v="2022-04-07T00:00:00"/>
    <d v="2022-04-21T00:00:00"/>
    <x v="34"/>
    <n v="10"/>
    <n v="12716.4"/>
    <n v="0"/>
    <m/>
    <m/>
    <m/>
    <m/>
    <n v="0"/>
  </r>
  <r>
    <s v="   29.2"/>
    <s v="atividade"/>
    <s v="FUNDOS"/>
    <s v="PINTURA EXTERNA"/>
    <s v="FAC-&gt;FUNDOS"/>
    <n v="238.27"/>
    <s v="M²/M²"/>
    <n v="0"/>
    <d v="2022-03-17T00:00:00"/>
    <d v="2022-03-31T00:00:00"/>
    <x v="30"/>
    <n v="10"/>
    <n v="11843.5"/>
    <n v="0"/>
    <m/>
    <m/>
    <m/>
    <m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">
  <r>
    <n v="-1"/>
    <s v="PROCESSO"/>
    <n v="1"/>
    <m/>
    <s v="LOCAçãO E GABARITO"/>
    <n v="74.739999999999995"/>
    <s v="HR"/>
    <n v="0"/>
    <d v="2021-08-16T00:00:00"/>
    <d v="2021-08-20T00:00:00"/>
    <n v="1"/>
    <n v="5"/>
    <n v="2720.5"/>
    <m/>
    <n v="1"/>
    <d v="2021-09-10T00:00:00"/>
    <d v="2021-09-13T00:00:00"/>
    <n v="2"/>
    <m/>
    <d v="2021-09-10T00:00:00"/>
    <d v="2021-09-13T00:00:00"/>
    <n v="2"/>
    <n v="2720.5"/>
    <s v="100.0%"/>
    <n v="-25"/>
    <n v="-24"/>
    <n v="-1"/>
    <m/>
    <m/>
    <m/>
    <m/>
    <x v="0"/>
    <x v="0"/>
  </r>
  <r>
    <s v="   1.1"/>
    <s v="atividade"/>
    <s v="FUND"/>
    <s v="LOCAçãO E GABARITO"/>
    <s v="EST/ACAB-&gt;FUND"/>
    <n v="74.739999999999995"/>
    <s v="HR"/>
    <n v="0"/>
    <d v="2021-08-16T00:00:00"/>
    <d v="2021-08-20T00:00:00"/>
    <n v="1"/>
    <n v="5"/>
    <n v="2720.5"/>
    <n v="0"/>
    <n v="1"/>
    <d v="2021-09-10T00:00:00"/>
    <d v="2021-09-13T00:00:00"/>
    <n v="2"/>
    <n v="2720.5"/>
    <d v="2021-09-10T00:00:00"/>
    <d v="2021-09-13T00:00:00"/>
    <n v="2"/>
    <n v="2720.5"/>
    <s v="100.0%"/>
    <n v="-25"/>
    <n v="-24"/>
    <n v="-1"/>
    <n v="0.56523337008452779"/>
    <n v="0.43476662991547227"/>
    <n v="1537.7173833149579"/>
    <n v="1182.7826166850423"/>
    <x v="1"/>
    <x v="1"/>
  </r>
  <r>
    <n v="-2"/>
    <s v="PROCESSO"/>
    <n v="2"/>
    <m/>
    <s v="ESTACAS"/>
    <n v="1"/>
    <s v="TORRE"/>
    <n v="0"/>
    <d v="2021-08-23T00:00:00"/>
    <d v="2021-09-06T00:00:00"/>
    <n v="4"/>
    <n v="10"/>
    <n v="34356.199999999997"/>
    <m/>
    <m/>
    <m/>
    <m/>
    <m/>
    <m/>
    <d v="2021-09-14T00:00:00"/>
    <d v="2021-09-28T00:00:00"/>
    <n v="10"/>
    <n v="34356.199999999997"/>
    <s v="0.0%"/>
    <m/>
    <m/>
    <m/>
    <m/>
    <m/>
    <m/>
    <m/>
    <x v="0"/>
    <x v="0"/>
  </r>
  <r>
    <s v="   2.1"/>
    <s v="atividade"/>
    <s v="FUND"/>
    <s v="ESTACAS"/>
    <s v="EST/ACAB-&gt;FUND"/>
    <n v="1"/>
    <s v="TORRE"/>
    <n v="0"/>
    <d v="2021-08-23T00:00:00"/>
    <d v="2021-09-06T00:00:00"/>
    <n v="4"/>
    <n v="10"/>
    <n v="34356.199999999997"/>
    <n v="0"/>
    <m/>
    <m/>
    <m/>
    <m/>
    <n v="0"/>
    <d v="2021-09-14T00:00:00"/>
    <d v="2021-09-28T00:00:00"/>
    <n v="10"/>
    <n v="34356.199999999997"/>
    <s v="0.0%"/>
    <m/>
    <m/>
    <m/>
    <n v="0.48027943530781547"/>
    <n v="0.51972056469218453"/>
    <n v="16500.57633532237"/>
    <n v="17855.623664677627"/>
    <x v="2"/>
    <x v="2"/>
  </r>
  <r>
    <n v="-3"/>
    <s v="PROCESSO"/>
    <n v="3"/>
    <m/>
    <s v="VIGAS BALDRAMES"/>
    <n v="36.229999999999997"/>
    <s v="M³"/>
    <n v="0"/>
    <d v="2021-09-06T00:00:00"/>
    <d v="2021-09-13T00:00:00"/>
    <n v="5"/>
    <n v="5"/>
    <n v="70046.7"/>
    <m/>
    <m/>
    <m/>
    <m/>
    <m/>
    <m/>
    <d v="2021-09-28T00:00:00"/>
    <d v="2021-10-05T00:00:00"/>
    <n v="5"/>
    <n v="70046.7"/>
    <s v="0.0%"/>
    <m/>
    <m/>
    <m/>
    <m/>
    <m/>
    <m/>
    <m/>
    <x v="0"/>
    <x v="0"/>
  </r>
  <r>
    <s v="   3.1"/>
    <s v="atividade"/>
    <s v="FUND"/>
    <s v="VIGAS BALDRAMES"/>
    <s v="EST/ACAB-&gt;FUND"/>
    <n v="36.229999999999997"/>
    <s v="M³"/>
    <n v="0"/>
    <d v="2021-09-06T00:00:00"/>
    <d v="2021-09-13T00:00:00"/>
    <n v="5"/>
    <n v="5"/>
    <n v="70046.7"/>
    <n v="0"/>
    <m/>
    <m/>
    <m/>
    <m/>
    <n v="0"/>
    <d v="2021-09-28T00:00:00"/>
    <d v="2021-10-05T00:00:00"/>
    <n v="5"/>
    <n v="70046.7"/>
    <s v="0.0%"/>
    <m/>
    <m/>
    <m/>
    <n v="0.12988607486508866"/>
    <n v="0.87011392513491137"/>
    <n v="9098.0909202524053"/>
    <n v="60948.609079747592"/>
    <x v="3"/>
    <x v="3"/>
  </r>
  <r>
    <n v="-4"/>
    <s v="PROCESSO"/>
    <n v="4"/>
    <m/>
    <s v="INSTALAçõES ENTERRADAS"/>
    <n v="2"/>
    <s v="TORRE"/>
    <n v="0"/>
    <d v="2021-09-13T00:00:00"/>
    <d v="2021-09-20T00:00:00"/>
    <n v="6"/>
    <n v="5"/>
    <n v="350"/>
    <m/>
    <m/>
    <m/>
    <m/>
    <m/>
    <m/>
    <d v="2021-10-05T00:00:00"/>
    <d v="2021-10-13T00:00:00"/>
    <n v="5"/>
    <n v="350"/>
    <s v="0.0%"/>
    <m/>
    <m/>
    <m/>
    <m/>
    <m/>
    <m/>
    <m/>
    <x v="0"/>
    <x v="0"/>
  </r>
  <r>
    <s v="   4.1"/>
    <s v="atividade"/>
    <s v="FUND"/>
    <s v="INSTALAçõES ENTERRADAS"/>
    <s v="EST/ACAB-&gt;FUND"/>
    <n v="2"/>
    <s v="TORRE"/>
    <n v="0"/>
    <d v="2021-09-13T00:00:00"/>
    <d v="2021-09-20T00:00:00"/>
    <n v="6"/>
    <n v="5"/>
    <n v="350"/>
    <n v="0"/>
    <m/>
    <m/>
    <m/>
    <m/>
    <n v="0"/>
    <d v="2021-10-05T00:00:00"/>
    <d v="2021-10-13T00:00:00"/>
    <n v="5"/>
    <n v="350"/>
    <s v="0.0%"/>
    <m/>
    <m/>
    <m/>
    <n v="1"/>
    <n v="0"/>
    <n v="350"/>
    <n v="0"/>
    <x v="4"/>
    <x v="4"/>
  </r>
  <r>
    <n v="-5"/>
    <s v="PROCESSO"/>
    <n v="5"/>
    <m/>
    <s v="CONTRAPISO"/>
    <n v="456.3"/>
    <s v="M²"/>
    <n v="0"/>
    <d v="2021-09-20T00:00:00"/>
    <d v="2021-09-27T00:00:00"/>
    <n v="7"/>
    <n v="5"/>
    <n v="34912.199999999997"/>
    <m/>
    <m/>
    <m/>
    <m/>
    <m/>
    <m/>
    <d v="2021-10-13T00:00:00"/>
    <d v="2021-10-20T00:00:00"/>
    <n v="5"/>
    <n v="34912.199999999997"/>
    <s v="0.0%"/>
    <m/>
    <m/>
    <m/>
    <m/>
    <m/>
    <m/>
    <m/>
    <x v="0"/>
    <x v="0"/>
  </r>
  <r>
    <s v="   5.1"/>
    <s v="atividade"/>
    <s v="FUND"/>
    <s v="CONTRAPISO"/>
    <s v="EST/ACAB-&gt;FUND"/>
    <n v="456.3"/>
    <s v="M²"/>
    <n v="0"/>
    <d v="2021-09-20T00:00:00"/>
    <d v="2021-09-27T00:00:00"/>
    <n v="7"/>
    <n v="5"/>
    <n v="34912.199999999997"/>
    <n v="0"/>
    <m/>
    <m/>
    <m/>
    <m/>
    <n v="0"/>
    <d v="2021-10-13T00:00:00"/>
    <d v="2021-10-20T00:00:00"/>
    <n v="5"/>
    <n v="34912.199999999997"/>
    <s v="0.0%"/>
    <m/>
    <m/>
    <m/>
    <n v="0.22496324175388346"/>
    <n v="0.77503675824611662"/>
    <n v="7853.9616887599295"/>
    <n v="27058.238311240071"/>
    <x v="5"/>
    <x v="5"/>
  </r>
  <r>
    <n v="-6"/>
    <s v="PROCESSO"/>
    <n v="6"/>
    <m/>
    <s v="ALVENARIA ESTRUTURAL"/>
    <n v="1684.46"/>
    <s v="M³"/>
    <n v="0"/>
    <d v="2021-09-27T00:00:00"/>
    <d v="2021-12-03T00:00:00"/>
    <n v="16"/>
    <n v="25"/>
    <n v="407381.7"/>
    <m/>
    <m/>
    <m/>
    <m/>
    <m/>
    <m/>
    <d v="2021-10-20T00:00:00"/>
    <d v="2021-12-27T00:00:00"/>
    <n v="25"/>
    <n v="407381.7"/>
    <s v="0.0%"/>
    <m/>
    <m/>
    <m/>
    <m/>
    <m/>
    <m/>
    <m/>
    <x v="0"/>
    <x v="0"/>
  </r>
  <r>
    <s v="   6.5"/>
    <s v="atividade"/>
    <s v="COB"/>
    <s v="ALVENARIA ESTRUTURAL"/>
    <s v="EST/ACAB-&gt;COB"/>
    <n v="83.84"/>
    <s v="M³"/>
    <n v="0"/>
    <d v="2021-11-26T00:00:00"/>
    <d v="2021-12-03T00:00:00"/>
    <n v="16"/>
    <n v="5"/>
    <n v="19719.7"/>
    <n v="0"/>
    <m/>
    <m/>
    <m/>
    <m/>
    <n v="0"/>
    <d v="2021-12-20T00:00:00"/>
    <d v="2021-12-27T00:00:00"/>
    <n v="5"/>
    <n v="19719.7"/>
    <s v="0.0%"/>
    <m/>
    <m/>
    <m/>
    <n v="0.13858702989570013"/>
    <n v="0.86141297010429985"/>
    <n v="2732.8946534342381"/>
    <n v="16986.805346565761"/>
    <x v="6"/>
    <x v="6"/>
  </r>
  <r>
    <s v="   6.1"/>
    <s v="atividade"/>
    <s v="PAV 1"/>
    <s v="ALVENARIA ESTRUTURAL"/>
    <s v="EST/ACAB-&gt;PAV 1"/>
    <n v="399.29"/>
    <s v="M³"/>
    <n v="0"/>
    <d v="2021-09-27T00:00:00"/>
    <d v="2021-10-04T00:00:00"/>
    <n v="8"/>
    <n v="5"/>
    <n v="96711"/>
    <n v="0"/>
    <m/>
    <m/>
    <m/>
    <m/>
    <n v="0"/>
    <d v="2021-10-20T00:00:00"/>
    <d v="2021-10-27T00:00:00"/>
    <n v="5"/>
    <n v="96711"/>
    <s v="0.0%"/>
    <m/>
    <m/>
    <m/>
    <n v="0.13858702989570013"/>
    <n v="0.86141297010429985"/>
    <n v="13402.890248243055"/>
    <n v="83308.109751756943"/>
    <x v="7"/>
    <x v="7"/>
  </r>
  <r>
    <s v="   6.2"/>
    <s v="atividade"/>
    <s v="PAV 2"/>
    <s v="ALVENARIA ESTRUTURAL"/>
    <s v="EST/ACAB-&gt;PAV 2"/>
    <n v="400.44"/>
    <s v="M³"/>
    <n v="0"/>
    <d v="2021-10-12T00:00:00"/>
    <d v="2021-10-19T00:00:00"/>
    <n v="10"/>
    <n v="5"/>
    <n v="96983.7"/>
    <n v="0"/>
    <m/>
    <m/>
    <m/>
    <m/>
    <n v="0"/>
    <d v="2021-11-04T00:00:00"/>
    <d v="2021-11-12T00:00:00"/>
    <n v="5"/>
    <n v="96983.7"/>
    <s v="0.0%"/>
    <m/>
    <m/>
    <m/>
    <n v="0.13858702989570013"/>
    <n v="0.86141297010429985"/>
    <n v="13440.682931295612"/>
    <n v="83543.017068704386"/>
    <x v="8"/>
    <x v="8"/>
  </r>
  <r>
    <s v="   6.3"/>
    <s v="atividade"/>
    <s v="PAV 3"/>
    <s v="ALVENARIA ESTRUTURAL"/>
    <s v="EST/ACAB-&gt;PAV 3"/>
    <n v="400.44"/>
    <s v="M³"/>
    <n v="0"/>
    <d v="2021-10-26T00:00:00"/>
    <d v="2021-11-03T00:00:00"/>
    <n v="12"/>
    <n v="5"/>
    <n v="96983.7"/>
    <n v="0"/>
    <m/>
    <m/>
    <m/>
    <m/>
    <n v="0"/>
    <d v="2021-11-19T00:00:00"/>
    <d v="2021-11-29T00:00:00"/>
    <n v="5"/>
    <n v="96983.7"/>
    <s v="0.0%"/>
    <m/>
    <m/>
    <m/>
    <n v="0.13858702989570013"/>
    <n v="0.86141297010429985"/>
    <n v="13440.682931295612"/>
    <n v="83543.017068704386"/>
    <x v="9"/>
    <x v="9"/>
  </r>
  <r>
    <s v="   6.4"/>
    <s v="atividade"/>
    <s v="PAV 4"/>
    <s v="ALVENARIA ESTRUTURAL"/>
    <s v="EST/ACAB-&gt;PAV 4"/>
    <n v="400.44"/>
    <s v="M³"/>
    <n v="0"/>
    <d v="2021-11-10T00:00:00"/>
    <d v="2021-11-18T00:00:00"/>
    <n v="14"/>
    <n v="5"/>
    <n v="96983.7"/>
    <n v="0"/>
    <m/>
    <m/>
    <m/>
    <m/>
    <n v="0"/>
    <d v="2021-12-06T00:00:00"/>
    <d v="2021-12-13T00:00:00"/>
    <n v="5"/>
    <n v="96983.7"/>
    <s v="0.0%"/>
    <m/>
    <m/>
    <m/>
    <n v="0.13858702989570013"/>
    <n v="0.86141297010429985"/>
    <n v="13440.682931295612"/>
    <n v="83543.017068704386"/>
    <x v="10"/>
    <x v="10"/>
  </r>
  <r>
    <n v="-7"/>
    <s v="PROCESSO"/>
    <n v="7"/>
    <m/>
    <s v="ESTRUTURA MOLDADO IN LOCO"/>
    <n v="219.93"/>
    <s v="M³"/>
    <n v="0"/>
    <d v="2021-10-04T00:00:00"/>
    <d v="2021-11-26T00:00:00"/>
    <n v="15"/>
    <n v="20"/>
    <n v="262864.09999999998"/>
    <m/>
    <m/>
    <m/>
    <m/>
    <m/>
    <m/>
    <d v="2021-10-27T00:00:00"/>
    <d v="2021-12-20T00:00:00"/>
    <n v="20"/>
    <n v="262864.09999999998"/>
    <s v="0.0%"/>
    <m/>
    <m/>
    <m/>
    <m/>
    <m/>
    <m/>
    <m/>
    <x v="0"/>
    <x v="0"/>
  </r>
  <r>
    <s v="   7.1"/>
    <s v="atividade"/>
    <s v="PAV 1"/>
    <s v="ESTRUTURA MOLDADO IN LOCO"/>
    <s v="EST/ACAB-&gt;PAV 1"/>
    <n v="55.49"/>
    <s v="M³"/>
    <n v="0"/>
    <d v="2021-10-04T00:00:00"/>
    <d v="2021-10-12T00:00:00"/>
    <n v="9"/>
    <n v="5"/>
    <n v="66451"/>
    <n v="0"/>
    <m/>
    <m/>
    <m/>
    <m/>
    <n v="0"/>
    <d v="2021-10-27T00:00:00"/>
    <d v="2021-11-04T00:00:00"/>
    <n v="5"/>
    <n v="66451"/>
    <s v="0.0%"/>
    <m/>
    <m/>
    <m/>
    <n v="0.17784862134031287"/>
    <n v="0.82215137865968713"/>
    <n v="11818.21873668513"/>
    <n v="54632.781263314871"/>
    <x v="11"/>
    <x v="11"/>
  </r>
  <r>
    <s v="   7.2"/>
    <s v="atividade"/>
    <s v="PAV 2"/>
    <s v="ESTRUTURA MOLDADO IN LOCO"/>
    <s v="EST/ACAB-&gt;PAV 2"/>
    <n v="55.49"/>
    <s v="M³"/>
    <n v="0"/>
    <d v="2021-10-19T00:00:00"/>
    <d v="2021-10-26T00:00:00"/>
    <n v="11"/>
    <n v="5"/>
    <n v="66451"/>
    <n v="0"/>
    <m/>
    <m/>
    <m/>
    <m/>
    <n v="0"/>
    <d v="2021-11-12T00:00:00"/>
    <d v="2021-11-19T00:00:00"/>
    <n v="5"/>
    <n v="66451"/>
    <s v="0.0%"/>
    <m/>
    <m/>
    <m/>
    <n v="0.17784862134031287"/>
    <n v="0.82215137865968713"/>
    <n v="11818.21873668513"/>
    <n v="54632.781263314871"/>
    <x v="12"/>
    <x v="12"/>
  </r>
  <r>
    <s v="   7.3"/>
    <s v="atividade"/>
    <s v="PAV 3"/>
    <s v="ESTRUTURA MOLDADO IN LOCO"/>
    <s v="EST/ACAB-&gt;PAV 3"/>
    <n v="55.49"/>
    <s v="M³"/>
    <n v="0"/>
    <d v="2021-11-03T00:00:00"/>
    <d v="2021-11-10T00:00:00"/>
    <n v="13"/>
    <n v="5"/>
    <n v="66451"/>
    <n v="0"/>
    <m/>
    <m/>
    <m/>
    <m/>
    <n v="0"/>
    <d v="2021-11-29T00:00:00"/>
    <d v="2021-12-06T00:00:00"/>
    <n v="5"/>
    <n v="66451"/>
    <s v="0.0%"/>
    <m/>
    <m/>
    <m/>
    <n v="0.17784862134031287"/>
    <n v="0.82215137865968713"/>
    <n v="11818.21873668513"/>
    <n v="54632.781263314871"/>
    <x v="13"/>
    <x v="13"/>
  </r>
  <r>
    <s v="   7.4"/>
    <s v="atividade"/>
    <s v="PAV 4"/>
    <s v="ESTRUTURA MOLDADO IN LOCO"/>
    <s v="EST/ACAB-&gt;PAV 4"/>
    <n v="53.46"/>
    <s v="M³"/>
    <n v="0"/>
    <d v="2021-11-18T00:00:00"/>
    <d v="2021-11-26T00:00:00"/>
    <n v="15"/>
    <n v="5"/>
    <n v="63511.1"/>
    <n v="0"/>
    <m/>
    <m/>
    <m/>
    <m/>
    <n v="0"/>
    <d v="2021-12-13T00:00:00"/>
    <d v="2021-12-20T00:00:00"/>
    <n v="5"/>
    <n v="63511.1"/>
    <s v="0.0%"/>
    <m/>
    <m/>
    <m/>
    <n v="0.17784862134031287"/>
    <n v="0.82215137865968713"/>
    <n v="11295.361574806744"/>
    <n v="52215.738425193253"/>
    <x v="14"/>
    <x v="14"/>
  </r>
  <r>
    <n v="-8"/>
    <s v="PROCESSO"/>
    <n v="8"/>
    <m/>
    <s v="INSTALAçõES HIDROSSANITáRIAS"/>
    <n v="6"/>
    <s v="TORRE"/>
    <n v="0"/>
    <d v="2021-11-03T00:00:00"/>
    <d v="2021-12-09T00:00:00"/>
    <n v="17"/>
    <n v="24.8"/>
    <n v="53823.6"/>
    <m/>
    <m/>
    <m/>
    <m/>
    <m/>
    <m/>
    <d v="2021-11-03T00:00:00"/>
    <d v="2021-12-31T00:00:00"/>
    <n v="24.8"/>
    <n v="53823.6"/>
    <s v="0.0%"/>
    <m/>
    <m/>
    <m/>
    <m/>
    <m/>
    <m/>
    <m/>
    <x v="0"/>
    <x v="0"/>
  </r>
  <r>
    <s v="   8.6"/>
    <s v="atividade"/>
    <s v="COB"/>
    <s v="INSTALAçõES HIDROSSANITáRIAS"/>
    <s v="EST/ACAB-&gt;COB"/>
    <n v="0.33"/>
    <s v="TORRE"/>
    <n v="0"/>
    <d v="2021-12-03T00:00:00"/>
    <d v="2021-12-09T00:00:00"/>
    <n v="17"/>
    <n v="4.8"/>
    <n v="5770.6"/>
    <n v="0"/>
    <m/>
    <m/>
    <m/>
    <m/>
    <n v="0"/>
    <d v="2021-12-27T00:00:00"/>
    <d v="2021-12-31T00:00:00"/>
    <n v="4.8"/>
    <n v="5770.6"/>
    <s v="0.0%"/>
    <m/>
    <m/>
    <m/>
    <n v="0.35672482024413354"/>
    <n v="0.64327517975586646"/>
    <n v="2058.5162477007971"/>
    <n v="3712.0837522992033"/>
    <x v="15"/>
    <x v="15"/>
  </r>
  <r>
    <s v="   8.1"/>
    <s v="atividade"/>
    <s v="FUND"/>
    <s v="INSTALAçõES HIDROSSANITáRIAS"/>
    <s v="EST/ACAB-&gt;FUND"/>
    <n v="0.33"/>
    <s v="TORRE"/>
    <n v="0"/>
    <d v="2021-11-03T00:00:00"/>
    <d v="2021-11-03T00:00:00"/>
    <n v="12"/>
    <n v="0"/>
    <n v="5770.6"/>
    <n v="0"/>
    <m/>
    <m/>
    <m/>
    <m/>
    <n v="0"/>
    <d v="2021-11-03T00:00:00"/>
    <d v="2021-11-03T00:00:00"/>
    <n v="0"/>
    <n v="5770.6"/>
    <s v="0.0%"/>
    <m/>
    <m/>
    <m/>
    <n v="0.35672482024413354"/>
    <n v="0.64327517975586646"/>
    <n v="2058.5162477007971"/>
    <n v="3712.0837522992033"/>
    <x v="13"/>
    <x v="9"/>
  </r>
  <r>
    <s v="   8.2"/>
    <s v="atividade"/>
    <s v="PAV 1"/>
    <s v="INSTALAçõES HIDROSSANITáRIAS"/>
    <s v="EST/ACAB-&gt;PAV 1"/>
    <n v="1.33"/>
    <s v="TORRE"/>
    <n v="0"/>
    <d v="2021-11-03T00:00:00"/>
    <d v="2021-11-10T00:00:00"/>
    <n v="13"/>
    <n v="5"/>
    <n v="10570.6"/>
    <n v="0"/>
    <m/>
    <m/>
    <m/>
    <m/>
    <n v="0"/>
    <d v="2021-11-04T00:00:00"/>
    <d v="2021-11-12T00:00:00"/>
    <n v="5"/>
    <n v="10570.6"/>
    <s v="0.0%"/>
    <m/>
    <m/>
    <m/>
    <n v="0.35672482024413354"/>
    <n v="0.64327517975586646"/>
    <n v="3770.7953848726384"/>
    <n v="6799.804615127362"/>
    <x v="13"/>
    <x v="13"/>
  </r>
  <r>
    <s v="   8.3"/>
    <s v="atividade"/>
    <s v="PAV 2"/>
    <s v="INSTALAçõES HIDROSSANITáRIAS"/>
    <s v="EST/ACAB-&gt;PAV 2"/>
    <n v="1.33"/>
    <s v="TORRE"/>
    <n v="0"/>
    <d v="2021-11-10T00:00:00"/>
    <d v="2021-11-18T00:00:00"/>
    <n v="14"/>
    <n v="5"/>
    <n v="10570.6"/>
    <n v="0"/>
    <m/>
    <m/>
    <m/>
    <m/>
    <n v="0"/>
    <d v="2021-11-19T00:00:00"/>
    <d v="2021-11-29T00:00:00"/>
    <n v="5"/>
    <n v="10570.6"/>
    <s v="0.0%"/>
    <m/>
    <m/>
    <m/>
    <n v="0.35672482024413354"/>
    <n v="0.64327517975586646"/>
    <n v="3770.7953848726384"/>
    <n v="6799.804615127362"/>
    <x v="10"/>
    <x v="10"/>
  </r>
  <r>
    <s v="   8.4"/>
    <s v="atividade"/>
    <s v="PAV 3"/>
    <s v="INSTALAçõES HIDROSSANITáRIAS"/>
    <s v="EST/ACAB-&gt;PAV 3"/>
    <n v="1.33"/>
    <s v="TORRE"/>
    <n v="0"/>
    <d v="2021-11-18T00:00:00"/>
    <d v="2021-11-26T00:00:00"/>
    <n v="15"/>
    <n v="5"/>
    <n v="10570.6"/>
    <n v="0"/>
    <m/>
    <m/>
    <m/>
    <m/>
    <n v="0"/>
    <d v="2021-12-06T00:00:00"/>
    <d v="2021-12-13T00:00:00"/>
    <n v="5"/>
    <n v="10570.6"/>
    <s v="0.0%"/>
    <m/>
    <m/>
    <m/>
    <n v="0.35672482024413354"/>
    <n v="0.64327517975586646"/>
    <n v="3770.7953848726384"/>
    <n v="6799.804615127362"/>
    <x v="14"/>
    <x v="14"/>
  </r>
  <r>
    <s v="   8.5"/>
    <s v="atividade"/>
    <s v="PAV 4"/>
    <s v="INSTALAçõES HIDROSSANITáRIAS"/>
    <s v="EST/ACAB-&gt;PAV 4"/>
    <n v="1.33"/>
    <s v="TORRE"/>
    <n v="0"/>
    <d v="2021-11-26T00:00:00"/>
    <d v="2021-12-03T00:00:00"/>
    <n v="16"/>
    <n v="5"/>
    <n v="10570.6"/>
    <n v="0"/>
    <m/>
    <m/>
    <m/>
    <m/>
    <n v="0"/>
    <d v="2021-12-20T00:00:00"/>
    <d v="2021-12-27T00:00:00"/>
    <n v="5"/>
    <n v="10570.6"/>
    <s v="0.0%"/>
    <m/>
    <m/>
    <m/>
    <n v="0.35672482024413354"/>
    <n v="0.64327517975586646"/>
    <n v="3770.7953848726384"/>
    <n v="6799.804615127362"/>
    <x v="6"/>
    <x v="6"/>
  </r>
  <r>
    <n v="-9"/>
    <s v="PROCESSO"/>
    <n v="9"/>
    <m/>
    <s v="REBOCO INTERNO"/>
    <n v="562.37"/>
    <s v="M²"/>
    <n v="0"/>
    <d v="2021-11-26T00:00:00"/>
    <d v="2021-12-24T00:00:00"/>
    <n v="19"/>
    <n v="20"/>
    <n v="14863.2"/>
    <m/>
    <m/>
    <m/>
    <m/>
    <m/>
    <m/>
    <d v="2021-12-13T00:00:00"/>
    <d v="2022-01-18T00:00:00"/>
    <n v="20"/>
    <n v="14863.2"/>
    <s v="0.0%"/>
    <m/>
    <m/>
    <m/>
    <m/>
    <m/>
    <m/>
    <m/>
    <x v="0"/>
    <x v="0"/>
  </r>
  <r>
    <s v="   9.1"/>
    <s v="atividade"/>
    <s v="PAV 1"/>
    <s v="REBOCO INTERNO"/>
    <s v="EST/ACAB-&gt;PAV 1"/>
    <n v="140.59"/>
    <s v="M²"/>
    <n v="0"/>
    <d v="2021-11-26T00:00:00"/>
    <d v="2021-12-03T00:00:00"/>
    <n v="16"/>
    <n v="5"/>
    <n v="3715.8"/>
    <n v="0"/>
    <m/>
    <m/>
    <m/>
    <m/>
    <n v="0"/>
    <d v="2021-12-13T00:00:00"/>
    <d v="2021-12-20T00:00:00"/>
    <n v="5"/>
    <n v="3715.8"/>
    <s v="0.0%"/>
    <m/>
    <m/>
    <m/>
    <n v="0.26486813778256191"/>
    <n v="0.73513186221743809"/>
    <n v="984.19702637244359"/>
    <n v="2731.6029736275568"/>
    <x v="6"/>
    <x v="6"/>
  </r>
  <r>
    <s v="   9.2"/>
    <s v="atividade"/>
    <s v="PAV 2"/>
    <s v="REBOCO INTERNO"/>
    <s v="EST/ACAB-&gt;PAV 2"/>
    <n v="140.59"/>
    <s v="M²"/>
    <n v="0"/>
    <d v="2021-12-03T00:00:00"/>
    <d v="2021-12-10T00:00:00"/>
    <n v="17"/>
    <n v="5"/>
    <n v="3715.8"/>
    <n v="0"/>
    <m/>
    <m/>
    <m/>
    <m/>
    <n v="0"/>
    <d v="2021-12-27T00:00:00"/>
    <d v="2022-01-03T00:00:00"/>
    <n v="5"/>
    <n v="3715.8"/>
    <s v="0.0%"/>
    <m/>
    <m/>
    <m/>
    <n v="0.26486813778256191"/>
    <n v="0.73513186221743809"/>
    <n v="984.19702637244359"/>
    <n v="2731.6029736275568"/>
    <x v="15"/>
    <x v="16"/>
  </r>
  <r>
    <s v="   9.3"/>
    <s v="atividade"/>
    <s v="PAV 3"/>
    <s v="REBOCO INTERNO"/>
    <s v="EST/ACAB-&gt;PAV 3"/>
    <n v="140.59"/>
    <s v="M²"/>
    <n v="0"/>
    <d v="2021-12-10T00:00:00"/>
    <d v="2021-12-17T00:00:00"/>
    <n v="18"/>
    <n v="5"/>
    <n v="3715.8"/>
    <n v="0"/>
    <m/>
    <m/>
    <m/>
    <m/>
    <n v="0"/>
    <d v="2022-01-03T00:00:00"/>
    <d v="2022-01-10T00:00:00"/>
    <n v="5"/>
    <n v="3715.8"/>
    <s v="0.0%"/>
    <m/>
    <m/>
    <m/>
    <n v="0.26486813778256191"/>
    <n v="0.73513186221743809"/>
    <n v="984.19702637244359"/>
    <n v="2731.6029736275568"/>
    <x v="16"/>
    <x v="17"/>
  </r>
  <r>
    <s v="   9.4"/>
    <s v="atividade"/>
    <s v="PAV 4"/>
    <s v="REBOCO INTERNO"/>
    <s v="EST/ACAB-&gt;PAV 4"/>
    <n v="140.59"/>
    <s v="M²"/>
    <n v="0"/>
    <d v="2021-12-17T00:00:00"/>
    <d v="2021-12-24T00:00:00"/>
    <n v="19"/>
    <n v="5"/>
    <n v="3715.8"/>
    <n v="0"/>
    <m/>
    <m/>
    <m/>
    <m/>
    <n v="0"/>
    <d v="2022-01-10T00:00:00"/>
    <d v="2022-01-18T00:00:00"/>
    <n v="5"/>
    <n v="3715.8"/>
    <s v="0.0%"/>
    <m/>
    <m/>
    <m/>
    <n v="0.26486813778256191"/>
    <n v="0.73513186221743809"/>
    <n v="984.19702637244359"/>
    <n v="2731.6029736275568"/>
    <x v="17"/>
    <x v="18"/>
  </r>
  <r>
    <n v="-10"/>
    <s v="PROCESSO"/>
    <n v="10"/>
    <m/>
    <s v="SHAFT "/>
    <n v="85.54"/>
    <s v="M²"/>
    <n v="0"/>
    <d v="2021-12-16T00:00:00"/>
    <d v="2021-12-30T00:00:00"/>
    <n v="20"/>
    <n v="10"/>
    <n v="1710.8"/>
    <m/>
    <m/>
    <m/>
    <m/>
    <m/>
    <m/>
    <d v="2022-01-07T00:00:00"/>
    <d v="2022-01-24T00:00:00"/>
    <n v="10"/>
    <n v="1710.8"/>
    <s v="0.0%"/>
    <m/>
    <m/>
    <m/>
    <m/>
    <m/>
    <m/>
    <m/>
    <x v="0"/>
    <x v="0"/>
  </r>
  <r>
    <s v="   10.1"/>
    <s v="atividade"/>
    <s v="PAV 1"/>
    <s v="SHAFT "/>
    <s v="EST/ACAB-&gt;PAV 1"/>
    <n v="21.39"/>
    <s v="M²"/>
    <n v="0"/>
    <d v="2021-12-16T00:00:00"/>
    <d v="2021-12-21T00:00:00"/>
    <n v="19"/>
    <n v="2.5"/>
    <n v="427.7"/>
    <n v="0"/>
    <m/>
    <m/>
    <m/>
    <m/>
    <n v="0"/>
    <d v="2022-01-07T00:00:00"/>
    <d v="2022-01-12T00:00:00"/>
    <n v="2.5"/>
    <n v="427.7"/>
    <s v="0.0%"/>
    <m/>
    <m/>
    <m/>
    <n v="0.62478082992402106"/>
    <n v="0.37521917007597894"/>
    <n v="267.21876095850382"/>
    <n v="160.4812390414962"/>
    <x v="18"/>
    <x v="19"/>
  </r>
  <r>
    <s v="   10.2"/>
    <s v="atividade"/>
    <s v="PAV 2"/>
    <s v="SHAFT "/>
    <s v="EST/ACAB-&gt;PAV 2"/>
    <n v="21.39"/>
    <s v="M²"/>
    <n v="0"/>
    <d v="2021-12-21T00:00:00"/>
    <d v="2021-12-23T00:00:00"/>
    <n v="19"/>
    <n v="2.5"/>
    <n v="427.7"/>
    <n v="0"/>
    <m/>
    <m/>
    <m/>
    <m/>
    <n v="0"/>
    <d v="2022-01-12T00:00:00"/>
    <d v="2022-01-14T00:00:00"/>
    <n v="2.5"/>
    <n v="427.7"/>
    <s v="0.0%"/>
    <m/>
    <m/>
    <m/>
    <n v="0.62478082992402106"/>
    <n v="0.37521917007597894"/>
    <n v="267.21876095850382"/>
    <n v="160.4812390414962"/>
    <x v="19"/>
    <x v="20"/>
  </r>
  <r>
    <s v="   10.3"/>
    <s v="atividade"/>
    <s v="PAV 3"/>
    <s v="SHAFT "/>
    <s v="EST/ACAB-&gt;PAV 3"/>
    <n v="21.39"/>
    <s v="M²"/>
    <n v="0"/>
    <d v="2021-12-23T00:00:00"/>
    <d v="2021-12-28T00:00:00"/>
    <n v="20"/>
    <n v="2.5"/>
    <n v="427.7"/>
    <n v="0"/>
    <m/>
    <m/>
    <m/>
    <m/>
    <n v="0"/>
    <d v="2022-01-14T00:00:00"/>
    <d v="2022-01-20T00:00:00"/>
    <n v="2.5"/>
    <n v="427.7"/>
    <s v="0.0%"/>
    <m/>
    <m/>
    <m/>
    <n v="0.62478082992402106"/>
    <n v="0.37521917007597894"/>
    <n v="267.21876095850382"/>
    <n v="160.4812390414962"/>
    <x v="20"/>
    <x v="21"/>
  </r>
  <r>
    <s v="   10.4"/>
    <s v="atividade"/>
    <s v="PAV 4"/>
    <s v="SHAFT "/>
    <s v="EST/ACAB-&gt;PAV 4"/>
    <n v="21.39"/>
    <s v="M²"/>
    <n v="0"/>
    <d v="2021-12-28T00:00:00"/>
    <d v="2021-12-30T00:00:00"/>
    <n v="20"/>
    <n v="2.5"/>
    <n v="427.7"/>
    <n v="0"/>
    <m/>
    <m/>
    <m/>
    <m/>
    <n v="0"/>
    <d v="2022-01-20T00:00:00"/>
    <d v="2022-01-24T00:00:00"/>
    <n v="2.5"/>
    <n v="427.7"/>
    <s v="0.0%"/>
    <m/>
    <m/>
    <m/>
    <n v="0.62478082992402106"/>
    <n v="0.37521917007597894"/>
    <n v="267.21876095850382"/>
    <n v="160.4812390414962"/>
    <x v="21"/>
    <x v="22"/>
  </r>
  <r>
    <n v="-11"/>
    <s v="PROCESSO"/>
    <n v="11"/>
    <m/>
    <s v="IMPERMEABILIZAçãO DO WC"/>
    <n v="24.33"/>
    <s v="M²"/>
    <n v="0"/>
    <d v="2021-12-21T00:00:00"/>
    <d v="2022-01-19T00:00:00"/>
    <n v="23"/>
    <n v="19.899999999999999"/>
    <n v="956.3"/>
    <m/>
    <m/>
    <m/>
    <m/>
    <m/>
    <m/>
    <d v="2021-12-21T00:00:00"/>
    <d v="2022-02-10T00:00:00"/>
    <n v="19.899999999999999"/>
    <n v="956.3"/>
    <s v="0.0%"/>
    <m/>
    <m/>
    <m/>
    <m/>
    <m/>
    <m/>
    <m/>
    <x v="0"/>
    <x v="0"/>
  </r>
  <r>
    <s v="   11.1"/>
    <s v="atividade"/>
    <s v="FUND"/>
    <s v="IMPERMEABILIZAçãO DO WC"/>
    <s v="EST/ACAB-&gt;FUND"/>
    <n v="5.17"/>
    <s v="M²"/>
    <n v="0"/>
    <d v="2021-12-21T00:00:00"/>
    <d v="2021-12-21T00:00:00"/>
    <n v="19"/>
    <n v="0"/>
    <n v="203.1"/>
    <n v="0"/>
    <m/>
    <m/>
    <m/>
    <m/>
    <n v="0"/>
    <d v="2021-12-21T00:00:00"/>
    <d v="2021-12-21T00:00:00"/>
    <n v="0"/>
    <n v="203.1"/>
    <s v="0.0%"/>
    <m/>
    <m/>
    <m/>
    <n v="0.45815899581589958"/>
    <n v="0.54184100418410042"/>
    <n v="93.052092050209197"/>
    <n v="110.0479079497908"/>
    <x v="19"/>
    <x v="19"/>
  </r>
  <r>
    <s v="   11.2"/>
    <s v="atividade"/>
    <s v="PAV 1"/>
    <s v="IMPERMEABILIZAçãO DO WC"/>
    <s v="EST/ACAB-&gt;PAV 1"/>
    <n v="6.08"/>
    <s v="M²"/>
    <n v="0"/>
    <d v="2021-12-21T00:00:00"/>
    <d v="2021-12-28T00:00:00"/>
    <n v="20"/>
    <n v="5"/>
    <n v="239.1"/>
    <n v="0"/>
    <m/>
    <m/>
    <m/>
    <m/>
    <n v="0"/>
    <d v="2022-01-12T00:00:00"/>
    <d v="2022-01-20T00:00:00"/>
    <n v="5"/>
    <n v="239.1"/>
    <s v="0.0%"/>
    <m/>
    <m/>
    <m/>
    <n v="0.45815899581589958"/>
    <n v="0.54184100418410042"/>
    <n v="109.54581589958158"/>
    <n v="129.55418410041841"/>
    <x v="19"/>
    <x v="21"/>
  </r>
  <r>
    <s v="   11.3"/>
    <s v="atividade"/>
    <s v="PAV 2"/>
    <s v="IMPERMEABILIZAçãO DO WC"/>
    <s v="EST/ACAB-&gt;PAV 2"/>
    <n v="6.08"/>
    <s v="M²"/>
    <n v="0"/>
    <d v="2021-12-28T00:00:00"/>
    <d v="2022-01-04T00:00:00"/>
    <n v="21"/>
    <n v="5"/>
    <n v="239.1"/>
    <n v="0"/>
    <m/>
    <m/>
    <m/>
    <m/>
    <n v="0"/>
    <d v="2022-01-20T00:00:00"/>
    <d v="2022-01-27T00:00:00"/>
    <n v="5"/>
    <n v="239.1"/>
    <s v="0.0%"/>
    <m/>
    <m/>
    <m/>
    <n v="0.45815899581589958"/>
    <n v="0.54184100418410042"/>
    <n v="109.54581589958158"/>
    <n v="129.55418410041841"/>
    <x v="21"/>
    <x v="23"/>
  </r>
  <r>
    <s v="   11.4"/>
    <s v="atividade"/>
    <s v="PAV 3"/>
    <s v="IMPERMEABILIZAçãO DO WC"/>
    <s v="EST/ACAB-&gt;PAV 3"/>
    <n v="6.08"/>
    <s v="M²"/>
    <n v="0"/>
    <d v="2022-01-04T00:00:00"/>
    <d v="2022-01-11T00:00:00"/>
    <n v="22"/>
    <n v="5"/>
    <n v="239.1"/>
    <n v="0"/>
    <m/>
    <m/>
    <m/>
    <m/>
    <n v="0"/>
    <d v="2022-01-27T00:00:00"/>
    <d v="2022-02-03T00:00:00"/>
    <n v="5"/>
    <n v="239.1"/>
    <s v="0.0%"/>
    <m/>
    <m/>
    <m/>
    <n v="0.45815899581589958"/>
    <n v="0.54184100418410042"/>
    <n v="109.54581589958158"/>
    <n v="129.55418410041841"/>
    <x v="22"/>
    <x v="24"/>
  </r>
  <r>
    <s v="   11.5"/>
    <s v="atividade"/>
    <s v="PAV 4"/>
    <s v="IMPERMEABILIZAçãO DO WC"/>
    <s v="EST/ACAB-&gt;PAV 4"/>
    <n v="0.92"/>
    <s v="M²"/>
    <n v="0"/>
    <d v="2022-01-11T00:00:00"/>
    <d v="2022-01-19T00:00:00"/>
    <n v="23"/>
    <n v="5"/>
    <n v="36"/>
    <n v="0"/>
    <m/>
    <m/>
    <m/>
    <m/>
    <n v="0"/>
    <d v="2022-02-03T00:00:00"/>
    <d v="2022-02-10T00:00:00"/>
    <n v="5"/>
    <n v="36"/>
    <s v="0.0%"/>
    <m/>
    <m/>
    <m/>
    <n v="0.45815899581589958"/>
    <n v="0.54184100418410042"/>
    <n v="16.493723849372387"/>
    <n v="19.506276150627613"/>
    <x v="23"/>
    <x v="25"/>
  </r>
  <r>
    <n v="-12"/>
    <s v="PROCESSO"/>
    <n v="12"/>
    <m/>
    <s v="CERâMICA APTOS"/>
    <n v="2693.28"/>
    <s v="M²"/>
    <n v="0"/>
    <d v="2022-01-04T00:00:00"/>
    <d v="2022-02-02T00:00:00"/>
    <n v="25"/>
    <n v="20"/>
    <n v="81742.7"/>
    <m/>
    <m/>
    <m/>
    <m/>
    <m/>
    <m/>
    <d v="2022-01-27T00:00:00"/>
    <d v="2022-02-25T00:00:00"/>
    <n v="20"/>
    <n v="81742.7"/>
    <s v="0.0%"/>
    <m/>
    <m/>
    <m/>
    <m/>
    <m/>
    <m/>
    <m/>
    <x v="0"/>
    <x v="0"/>
  </r>
  <r>
    <s v="   12.1"/>
    <s v="atividade"/>
    <s v="PAV 1"/>
    <s v="CERâMICA APTOS"/>
    <s v="EST/ACAB-&gt;PAV 1"/>
    <n v="673.38"/>
    <s v="M²"/>
    <n v="0"/>
    <d v="2022-01-04T00:00:00"/>
    <d v="2022-01-11T00:00:00"/>
    <n v="22"/>
    <n v="5"/>
    <n v="20437.400000000001"/>
    <n v="0"/>
    <m/>
    <m/>
    <m/>
    <m/>
    <n v="0"/>
    <d v="2022-01-27T00:00:00"/>
    <d v="2022-02-03T00:00:00"/>
    <n v="5"/>
    <n v="20437.400000000001"/>
    <s v="0.0%"/>
    <m/>
    <m/>
    <m/>
    <n v="0.57761004134961225"/>
    <n v="0.42238995865038781"/>
    <n v="11804.847459078566"/>
    <n v="8632.552540921437"/>
    <x v="22"/>
    <x v="24"/>
  </r>
  <r>
    <s v="   12.2"/>
    <s v="atividade"/>
    <s v="PAV 2"/>
    <s v="CERâMICA APTOS"/>
    <s v="EST/ACAB-&gt;PAV 2"/>
    <n v="673.38"/>
    <s v="M²"/>
    <n v="0"/>
    <d v="2022-01-11T00:00:00"/>
    <d v="2022-01-19T00:00:00"/>
    <n v="23"/>
    <n v="5"/>
    <n v="20437.400000000001"/>
    <n v="0"/>
    <m/>
    <m/>
    <m/>
    <m/>
    <n v="0"/>
    <d v="2022-02-03T00:00:00"/>
    <d v="2022-02-10T00:00:00"/>
    <n v="5"/>
    <n v="20437.400000000001"/>
    <s v="0.0%"/>
    <m/>
    <m/>
    <m/>
    <n v="0.57761004134961225"/>
    <n v="0.42238995865038781"/>
    <n v="11804.847459078566"/>
    <n v="8632.552540921437"/>
    <x v="23"/>
    <x v="25"/>
  </r>
  <r>
    <s v="   12.3"/>
    <s v="atividade"/>
    <s v="PAV 3"/>
    <s v="CERâMICA APTOS"/>
    <s v="EST/ACAB-&gt;PAV 3"/>
    <n v="673.15"/>
    <s v="M²"/>
    <n v="0"/>
    <d v="2022-01-19T00:00:00"/>
    <d v="2022-01-26T00:00:00"/>
    <n v="24"/>
    <n v="5"/>
    <n v="20430.599999999999"/>
    <n v="0"/>
    <m/>
    <m/>
    <m/>
    <m/>
    <n v="0"/>
    <d v="2022-02-10T00:00:00"/>
    <d v="2022-02-17T00:00:00"/>
    <n v="5"/>
    <n v="20430.599999999999"/>
    <s v="0.0%"/>
    <m/>
    <m/>
    <m/>
    <n v="0.57761004134961225"/>
    <n v="0.42238995865038781"/>
    <n v="11800.919710797387"/>
    <n v="8629.6802892026117"/>
    <x v="24"/>
    <x v="26"/>
  </r>
  <r>
    <s v="   12.4"/>
    <s v="atividade"/>
    <s v="PAV 4"/>
    <s v="CERâMICA APTOS"/>
    <s v="EST/ACAB-&gt;PAV 4"/>
    <n v="673.38"/>
    <s v="M²"/>
    <n v="0"/>
    <d v="2022-01-26T00:00:00"/>
    <d v="2022-02-02T00:00:00"/>
    <n v="25"/>
    <n v="5"/>
    <n v="20437.400000000001"/>
    <n v="0"/>
    <m/>
    <m/>
    <m/>
    <m/>
    <n v="0"/>
    <d v="2022-02-17T00:00:00"/>
    <d v="2022-02-25T00:00:00"/>
    <n v="5"/>
    <n v="20437.400000000001"/>
    <s v="0.0%"/>
    <m/>
    <m/>
    <m/>
    <n v="0.57761004134961225"/>
    <n v="0.42238995865038781"/>
    <n v="11804.847459078566"/>
    <n v="8632.552540921437"/>
    <x v="25"/>
    <x v="27"/>
  </r>
  <r>
    <n v="-13"/>
    <s v="PROCESSO"/>
    <n v="13"/>
    <m/>
    <s v="GESSO LISO"/>
    <n v="1789.8"/>
    <s v="M²"/>
    <n v="0"/>
    <d v="2022-01-19T00:00:00"/>
    <d v="2022-02-16T00:00:00"/>
    <n v="27"/>
    <n v="20"/>
    <n v="27245.1"/>
    <m/>
    <m/>
    <m/>
    <m/>
    <m/>
    <m/>
    <d v="2022-02-10T00:00:00"/>
    <d v="2022-03-11T00:00:00"/>
    <n v="20"/>
    <n v="27245.1"/>
    <s v="0.0%"/>
    <m/>
    <m/>
    <m/>
    <m/>
    <m/>
    <m/>
    <m/>
    <x v="0"/>
    <x v="0"/>
  </r>
  <r>
    <s v="   13.1"/>
    <s v="atividade"/>
    <s v="PAV 1"/>
    <s v="GESSO LISO"/>
    <s v="EST/ACAB-&gt;PAV 1"/>
    <n v="446.62"/>
    <s v="M²"/>
    <n v="0"/>
    <d v="2022-01-19T00:00:00"/>
    <d v="2022-01-26T00:00:00"/>
    <n v="24"/>
    <n v="5"/>
    <n v="6798.7"/>
    <n v="0"/>
    <m/>
    <m/>
    <m/>
    <m/>
    <n v="0"/>
    <d v="2022-02-10T00:00:00"/>
    <d v="2022-02-17T00:00:00"/>
    <n v="5"/>
    <n v="6798.7"/>
    <s v="0.0%"/>
    <m/>
    <m/>
    <m/>
    <n v="0.45986419526518629"/>
    <n v="0.54013580473481371"/>
    <n v="3126.4787043494221"/>
    <n v="3672.2212956505778"/>
    <x v="24"/>
    <x v="26"/>
  </r>
  <r>
    <s v="   13.2"/>
    <s v="atividade"/>
    <s v="PAV 2"/>
    <s v="GESSO LISO"/>
    <s v="EST/ACAB-&gt;PAV 2"/>
    <n v="447.73"/>
    <s v="M²"/>
    <n v="0"/>
    <d v="2022-01-26T00:00:00"/>
    <d v="2022-02-02T00:00:00"/>
    <n v="25"/>
    <n v="5"/>
    <n v="6815.5"/>
    <n v="0"/>
    <m/>
    <m/>
    <m/>
    <m/>
    <n v="0"/>
    <d v="2022-02-17T00:00:00"/>
    <d v="2022-02-25T00:00:00"/>
    <n v="5"/>
    <n v="6815.5"/>
    <s v="0.0%"/>
    <m/>
    <m/>
    <m/>
    <n v="0.45986419526518629"/>
    <n v="0.54013580473481371"/>
    <n v="3134.2044228298773"/>
    <n v="3681.2955771701227"/>
    <x v="25"/>
    <x v="27"/>
  </r>
  <r>
    <s v="   13.3"/>
    <s v="atividade"/>
    <s v="PAV 3"/>
    <s v="GESSO LISO"/>
    <s v="EST/ACAB-&gt;PAV 3"/>
    <n v="447.73"/>
    <s v="M²"/>
    <n v="0"/>
    <d v="2022-02-02T00:00:00"/>
    <d v="2022-02-09T00:00:00"/>
    <n v="26"/>
    <n v="5"/>
    <n v="6815.5"/>
    <n v="0"/>
    <m/>
    <m/>
    <m/>
    <m/>
    <n v="0"/>
    <d v="2022-02-25T00:00:00"/>
    <d v="2022-03-04T00:00:00"/>
    <n v="5"/>
    <n v="6815.5"/>
    <s v="0.0%"/>
    <m/>
    <m/>
    <m/>
    <n v="0.45986419526518629"/>
    <n v="0.54013580473481371"/>
    <n v="3134.2044228298773"/>
    <n v="3681.2955771701227"/>
    <x v="26"/>
    <x v="28"/>
  </r>
  <r>
    <s v="   13.4"/>
    <s v="atividade"/>
    <s v="PAV 4"/>
    <s v="GESSO LISO"/>
    <s v="EST/ACAB-&gt;PAV 4"/>
    <n v="447.73"/>
    <s v="M²"/>
    <n v="0"/>
    <d v="2022-02-09T00:00:00"/>
    <d v="2022-02-16T00:00:00"/>
    <n v="27"/>
    <n v="5"/>
    <n v="6815.5"/>
    <n v="0"/>
    <m/>
    <m/>
    <m/>
    <m/>
    <n v="0"/>
    <d v="2022-03-04T00:00:00"/>
    <d v="2022-03-11T00:00:00"/>
    <n v="5"/>
    <n v="6815.5"/>
    <s v="0.0%"/>
    <m/>
    <m/>
    <m/>
    <n v="0.45986419526518629"/>
    <n v="0.54013580473481371"/>
    <n v="3134.2044228298773"/>
    <n v="3681.2955771701227"/>
    <x v="27"/>
    <x v="29"/>
  </r>
  <r>
    <n v="-14"/>
    <s v="PROCESSO"/>
    <n v="14"/>
    <m/>
    <s v="ESQUADRIA DE ALUMINIO"/>
    <n v="84"/>
    <s v="UN"/>
    <n v="0"/>
    <d v="2022-01-26T00:00:00"/>
    <d v="2022-02-24T00:00:00"/>
    <n v="28"/>
    <n v="20"/>
    <n v="106000"/>
    <m/>
    <m/>
    <m/>
    <m/>
    <m/>
    <m/>
    <d v="2022-02-17T00:00:00"/>
    <d v="2022-03-18T00:00:00"/>
    <n v="20"/>
    <n v="106000"/>
    <s v="0.0%"/>
    <m/>
    <m/>
    <m/>
    <m/>
    <m/>
    <m/>
    <m/>
    <x v="0"/>
    <x v="0"/>
  </r>
  <r>
    <s v="   14.1"/>
    <s v="atividade"/>
    <s v="PAV 1"/>
    <s v="ESQUADRIA DE ALUMINIO"/>
    <s v="EST/ACAB-&gt;PAV 1"/>
    <n v="21"/>
    <s v="UN"/>
    <n v="0"/>
    <d v="2022-01-26T00:00:00"/>
    <d v="2022-02-02T00:00:00"/>
    <n v="25"/>
    <n v="5"/>
    <n v="26500"/>
    <n v="0"/>
    <m/>
    <m/>
    <m/>
    <m/>
    <n v="0"/>
    <d v="2022-02-17T00:00:00"/>
    <d v="2022-02-25T00:00:00"/>
    <n v="5"/>
    <n v="26500"/>
    <s v="0.0%"/>
    <m/>
    <m/>
    <m/>
    <n v="0.19811320754716982"/>
    <n v="0.80188679245283023"/>
    <n v="5250"/>
    <n v="21250"/>
    <x v="25"/>
    <x v="27"/>
  </r>
  <r>
    <s v="   14.2"/>
    <s v="atividade"/>
    <s v="PAV 2"/>
    <s v="ESQUADRIA DE ALUMINIO"/>
    <s v="EST/ACAB-&gt;PAV 2"/>
    <n v="21"/>
    <s v="UN"/>
    <n v="0"/>
    <d v="2022-02-02T00:00:00"/>
    <d v="2022-02-09T00:00:00"/>
    <n v="26"/>
    <n v="5"/>
    <n v="26500"/>
    <n v="0"/>
    <m/>
    <m/>
    <m/>
    <m/>
    <n v="0"/>
    <d v="2022-02-25T00:00:00"/>
    <d v="2022-03-04T00:00:00"/>
    <n v="5"/>
    <n v="26500"/>
    <s v="0.0%"/>
    <m/>
    <m/>
    <m/>
    <n v="0.19811320754716982"/>
    <n v="0.80188679245283023"/>
    <n v="5250"/>
    <n v="21250"/>
    <x v="26"/>
    <x v="28"/>
  </r>
  <r>
    <s v="   14.3"/>
    <s v="atividade"/>
    <s v="PAV 3"/>
    <s v="ESQUADRIA DE ALUMINIO"/>
    <s v="EST/ACAB-&gt;PAV 3"/>
    <n v="21"/>
    <s v="UN"/>
    <n v="0"/>
    <d v="2022-02-09T00:00:00"/>
    <d v="2022-02-16T00:00:00"/>
    <n v="27"/>
    <n v="5"/>
    <n v="26500"/>
    <n v="0"/>
    <m/>
    <m/>
    <m/>
    <m/>
    <n v="0"/>
    <d v="2022-03-04T00:00:00"/>
    <d v="2022-03-11T00:00:00"/>
    <n v="5"/>
    <n v="26500"/>
    <s v="0.0%"/>
    <m/>
    <m/>
    <m/>
    <n v="0.19811320754716982"/>
    <n v="0.80188679245283023"/>
    <n v="5250"/>
    <n v="21250"/>
    <x v="27"/>
    <x v="29"/>
  </r>
  <r>
    <s v="   14.4"/>
    <s v="atividade"/>
    <s v="PAV 4"/>
    <s v="ESQUADRIA DE ALUMINIO"/>
    <s v="EST/ACAB-&gt;PAV 4"/>
    <n v="21"/>
    <s v="UN"/>
    <n v="0"/>
    <d v="2022-02-16T00:00:00"/>
    <d v="2022-02-24T00:00:00"/>
    <n v="28"/>
    <n v="5"/>
    <n v="26500"/>
    <n v="0"/>
    <m/>
    <m/>
    <m/>
    <m/>
    <n v="0"/>
    <d v="2022-03-11T00:00:00"/>
    <d v="2022-03-18T00:00:00"/>
    <n v="5"/>
    <n v="26500"/>
    <s v="0.0%"/>
    <m/>
    <m/>
    <m/>
    <n v="0.19811320754716982"/>
    <n v="0.80188679245283023"/>
    <n v="5250"/>
    <n v="21250"/>
    <x v="28"/>
    <x v="30"/>
  </r>
  <r>
    <n v="-15"/>
    <s v="PROCESSO"/>
    <n v="15"/>
    <m/>
    <s v="FIAçãO"/>
    <n v="16"/>
    <s v="APTO"/>
    <n v="0"/>
    <d v="2022-02-02T00:00:00"/>
    <d v="2022-03-03T00:00:00"/>
    <n v="29"/>
    <n v="20"/>
    <n v="20538.099999999999"/>
    <m/>
    <m/>
    <m/>
    <m/>
    <m/>
    <m/>
    <d v="2022-02-25T00:00:00"/>
    <d v="2022-03-25T00:00:00"/>
    <n v="20"/>
    <n v="20538.099999999999"/>
    <s v="0.0%"/>
    <m/>
    <m/>
    <m/>
    <m/>
    <m/>
    <m/>
    <m/>
    <x v="0"/>
    <x v="0"/>
  </r>
  <r>
    <s v="   15.1"/>
    <s v="atividade"/>
    <s v="PAV 1"/>
    <s v="FIAçãO"/>
    <s v="EST/ACAB-&gt;PAV 1"/>
    <n v="4"/>
    <s v="APTO"/>
    <n v="0"/>
    <d v="2022-02-02T00:00:00"/>
    <d v="2022-02-09T00:00:00"/>
    <n v="26"/>
    <n v="5"/>
    <n v="5130.3"/>
    <n v="0"/>
    <m/>
    <m/>
    <m/>
    <m/>
    <n v="0"/>
    <d v="2022-02-25T00:00:00"/>
    <d v="2022-03-04T00:00:00"/>
    <n v="5"/>
    <n v="5130.3"/>
    <s v="0.0%"/>
    <m/>
    <m/>
    <m/>
    <n v="0.62323497906319991"/>
    <n v="0.37676502093680009"/>
    <n v="3197.3824130879348"/>
    <n v="1932.9175869120656"/>
    <x v="26"/>
    <x v="28"/>
  </r>
  <r>
    <s v="   15.2"/>
    <s v="atividade"/>
    <s v="PAV 2"/>
    <s v="FIAçãO"/>
    <s v="EST/ACAB-&gt;PAV 2"/>
    <n v="4"/>
    <s v="APTO"/>
    <n v="0"/>
    <d v="2022-02-09T00:00:00"/>
    <d v="2022-02-16T00:00:00"/>
    <n v="27"/>
    <n v="5"/>
    <n v="5135.8999999999996"/>
    <n v="0"/>
    <m/>
    <m/>
    <m/>
    <m/>
    <n v="0"/>
    <d v="2022-03-04T00:00:00"/>
    <d v="2022-03-11T00:00:00"/>
    <n v="5"/>
    <n v="5135.8999999999996"/>
    <s v="0.0%"/>
    <m/>
    <m/>
    <m/>
    <n v="0.62323497906319991"/>
    <n v="0.37676502093680009"/>
    <n v="3200.8725289706881"/>
    <n v="1935.0274710293115"/>
    <x v="27"/>
    <x v="29"/>
  </r>
  <r>
    <s v="   15.3"/>
    <s v="atividade"/>
    <s v="PAV 3"/>
    <s v="FIAçãO"/>
    <s v="EST/ACAB-&gt;PAV 3"/>
    <n v="4"/>
    <s v="APTO"/>
    <n v="0"/>
    <d v="2022-02-16T00:00:00"/>
    <d v="2022-02-24T00:00:00"/>
    <n v="28"/>
    <n v="5"/>
    <n v="5135.8999999999996"/>
    <n v="0"/>
    <m/>
    <m/>
    <m/>
    <m/>
    <n v="0"/>
    <d v="2022-03-11T00:00:00"/>
    <d v="2022-03-18T00:00:00"/>
    <n v="5"/>
    <n v="5135.8999999999996"/>
    <s v="0.0%"/>
    <m/>
    <m/>
    <m/>
    <n v="0.62323497906319991"/>
    <n v="0.37676502093680009"/>
    <n v="3200.8725289706881"/>
    <n v="1935.0274710293115"/>
    <x v="28"/>
    <x v="30"/>
  </r>
  <r>
    <s v="   15.4"/>
    <s v="atividade"/>
    <s v="PAV 4"/>
    <s v="FIAçãO"/>
    <s v="EST/ACAB-&gt;PAV 4"/>
    <n v="4"/>
    <s v="APTO"/>
    <n v="0"/>
    <d v="2022-02-24T00:00:00"/>
    <d v="2022-03-03T00:00:00"/>
    <n v="29"/>
    <n v="5"/>
    <n v="5135.8999999999996"/>
    <n v="0"/>
    <m/>
    <m/>
    <m/>
    <m/>
    <n v="0"/>
    <d v="2022-03-18T00:00:00"/>
    <d v="2022-03-25T00:00:00"/>
    <n v="5"/>
    <n v="5135.8999999999996"/>
    <s v="0.0%"/>
    <m/>
    <m/>
    <m/>
    <n v="0.62323497906319991"/>
    <n v="0.37676502093680009"/>
    <n v="3200.8725289706881"/>
    <n v="1935.0274710293115"/>
    <x v="29"/>
    <x v="31"/>
  </r>
  <r>
    <n v="-16"/>
    <s v="PROCESSO"/>
    <n v="16"/>
    <m/>
    <s v="FORRO"/>
    <n v="234.3"/>
    <s v="M²"/>
    <n v="0"/>
    <d v="2022-02-16T00:00:00"/>
    <d v="2022-03-17T00:00:00"/>
    <n v="31"/>
    <n v="20"/>
    <n v="9190"/>
    <m/>
    <m/>
    <m/>
    <m/>
    <m/>
    <m/>
    <d v="2022-03-11T00:00:00"/>
    <d v="2022-04-08T00:00:00"/>
    <n v="20"/>
    <n v="9190"/>
    <s v="0.0%"/>
    <m/>
    <m/>
    <m/>
    <m/>
    <m/>
    <m/>
    <m/>
    <x v="0"/>
    <x v="0"/>
  </r>
  <r>
    <s v="   16.1"/>
    <s v="atividade"/>
    <s v="PAV 1"/>
    <s v="FORRO"/>
    <s v="EST/ACAB-&gt;PAV 1"/>
    <n v="58.58"/>
    <s v="M²"/>
    <n v="0"/>
    <d v="2022-02-16T00:00:00"/>
    <d v="2022-02-24T00:00:00"/>
    <n v="28"/>
    <n v="5"/>
    <n v="2297.5"/>
    <n v="0"/>
    <m/>
    <m/>
    <m/>
    <m/>
    <n v="0"/>
    <n v="44631"/>
    <d v="2022-03-18T00:00:00"/>
    <d v="1900-01-04T00:00:00"/>
    <n v="2297.5"/>
    <s v="0.0%"/>
    <m/>
    <m/>
    <m/>
    <n v="0.31868131868131866"/>
    <n v="0.68131868131868134"/>
    <n v="732.17032967032958"/>
    <n v="1565.3296703296703"/>
    <x v="28"/>
    <x v="30"/>
  </r>
  <r>
    <s v="   16.2"/>
    <s v="atividade"/>
    <s v="PAV 2"/>
    <s v="FORRO"/>
    <s v="EST/ACAB-&gt;PAV 2"/>
    <n v="58.58"/>
    <s v="M²"/>
    <n v="0"/>
    <d v="2022-02-24T00:00:00"/>
    <d v="2022-03-03T00:00:00"/>
    <n v="29"/>
    <n v="5"/>
    <n v="2297.5"/>
    <n v="0"/>
    <m/>
    <m/>
    <m/>
    <m/>
    <n v="0"/>
    <n v="44638"/>
    <d v="2022-03-25T00:00:00"/>
    <d v="1900-01-04T00:00:00"/>
    <n v="2297.5"/>
    <s v="0.0%"/>
    <m/>
    <m/>
    <m/>
    <n v="0.31868131868131866"/>
    <n v="0.68131868131868134"/>
    <n v="732.17032967032958"/>
    <n v="1565.3296703296703"/>
    <x v="29"/>
    <x v="31"/>
  </r>
  <r>
    <s v="   16.3"/>
    <s v="atividade"/>
    <s v="PAV 3"/>
    <s v="FORRO"/>
    <s v="EST/ACAB-&gt;PAV 3"/>
    <n v="58.58"/>
    <s v="M²"/>
    <n v="0"/>
    <d v="2022-03-03T00:00:00"/>
    <d v="2022-03-10T00:00:00"/>
    <n v="30"/>
    <n v="5"/>
    <n v="2297.5"/>
    <n v="0"/>
    <m/>
    <m/>
    <m/>
    <m/>
    <n v="0"/>
    <n v="44645"/>
    <d v="2022-04-01T00:00:00"/>
    <d v="1900-01-04T00:00:00"/>
    <n v="2297.5"/>
    <s v="0.0%"/>
    <m/>
    <m/>
    <m/>
    <n v="0.31868131868131866"/>
    <n v="0.68131868131868134"/>
    <n v="732.17032967032958"/>
    <n v="1565.3296703296703"/>
    <x v="30"/>
    <x v="32"/>
  </r>
  <r>
    <s v="   16.4"/>
    <s v="atividade"/>
    <s v="PAV 4"/>
    <s v="FORRO"/>
    <s v="EST/ACAB-&gt;PAV 4"/>
    <n v="58.58"/>
    <s v="M²"/>
    <n v="0"/>
    <d v="2022-03-10T00:00:00"/>
    <d v="2022-03-17T00:00:00"/>
    <n v="31"/>
    <n v="5"/>
    <n v="2297.5"/>
    <n v="0"/>
    <m/>
    <m/>
    <m/>
    <m/>
    <n v="0"/>
    <n v="44652"/>
    <d v="2022-04-08T00:00:00"/>
    <d v="1900-01-04T00:00:00"/>
    <n v="2297.5"/>
    <s v="0.0%"/>
    <m/>
    <m/>
    <m/>
    <n v="0.31868131868131866"/>
    <n v="0.68131868131868134"/>
    <n v="732.17032967032958"/>
    <n v="1565.3296703296703"/>
    <x v="31"/>
    <x v="33"/>
  </r>
  <r>
    <n v="-17"/>
    <s v="PROCESSO"/>
    <n v="17"/>
    <m/>
    <s v="DISJUNTORES E CD"/>
    <n v="16"/>
    <s v="APTO"/>
    <n v="0"/>
    <d v="2022-02-24T00:00:00"/>
    <d v="2022-03-24T00:00:00"/>
    <n v="32"/>
    <n v="20"/>
    <n v="5600"/>
    <m/>
    <m/>
    <m/>
    <m/>
    <m/>
    <m/>
    <d v="2022-03-18T00:00:00"/>
    <d v="2022-04-15T00:00:00"/>
    <n v="20"/>
    <n v="5600"/>
    <s v="0.0%"/>
    <m/>
    <m/>
    <m/>
    <m/>
    <m/>
    <m/>
    <m/>
    <x v="0"/>
    <x v="0"/>
  </r>
  <r>
    <s v="   17.1"/>
    <s v="atividade"/>
    <s v="PAV 1"/>
    <s v="DISJUNTORES E CD"/>
    <s v="EST/ACAB-&gt;PAV 1"/>
    <n v="4"/>
    <s v="APTO"/>
    <n v="0"/>
    <d v="2022-02-24T00:00:00"/>
    <d v="2022-03-03T00:00:00"/>
    <n v="29"/>
    <n v="5"/>
    <n v="1400"/>
    <n v="0"/>
    <m/>
    <m/>
    <m/>
    <m/>
    <n v="0"/>
    <d v="2022-03-18T00:00:00"/>
    <d v="2022-03-25T00:00:00"/>
    <n v="5"/>
    <n v="1400"/>
    <s v="0.0%"/>
    <m/>
    <m/>
    <m/>
    <n v="1"/>
    <n v="0"/>
    <n v="1400"/>
    <n v="0"/>
    <x v="29"/>
    <x v="31"/>
  </r>
  <r>
    <s v="   17.2"/>
    <s v="atividade"/>
    <s v="PAV 2"/>
    <s v="DISJUNTORES E CD"/>
    <s v="EST/ACAB-&gt;PAV 2"/>
    <n v="4"/>
    <s v="APTO"/>
    <n v="0"/>
    <d v="2022-03-03T00:00:00"/>
    <d v="2022-03-10T00:00:00"/>
    <n v="30"/>
    <n v="5"/>
    <n v="1400"/>
    <n v="0"/>
    <m/>
    <m/>
    <m/>
    <m/>
    <n v="0"/>
    <d v="2022-03-25T00:00:00"/>
    <d v="2022-04-01T00:00:00"/>
    <n v="5"/>
    <n v="1400"/>
    <s v="0.0%"/>
    <m/>
    <m/>
    <m/>
    <n v="1"/>
    <n v="0"/>
    <n v="1400"/>
    <n v="0"/>
    <x v="30"/>
    <x v="32"/>
  </r>
  <r>
    <s v="   17.3"/>
    <s v="atividade"/>
    <s v="PAV 3"/>
    <s v="DISJUNTORES E CD"/>
    <s v="EST/ACAB-&gt;PAV 3"/>
    <n v="4"/>
    <s v="APTO"/>
    <n v="0"/>
    <d v="2022-03-10T00:00:00"/>
    <d v="2022-03-17T00:00:00"/>
    <n v="31"/>
    <n v="5"/>
    <n v="1400"/>
    <n v="0"/>
    <m/>
    <m/>
    <m/>
    <m/>
    <n v="0"/>
    <d v="2022-04-01T00:00:00"/>
    <d v="2022-04-08T00:00:00"/>
    <n v="5"/>
    <n v="1400"/>
    <s v="0.0%"/>
    <m/>
    <m/>
    <m/>
    <n v="1"/>
    <n v="0"/>
    <n v="1400"/>
    <n v="0"/>
    <x v="31"/>
    <x v="33"/>
  </r>
  <r>
    <s v="   17.4"/>
    <s v="atividade"/>
    <s v="PAV 4"/>
    <s v="DISJUNTORES E CD"/>
    <s v="EST/ACAB-&gt;PAV 4"/>
    <n v="4"/>
    <s v="APTO"/>
    <n v="0"/>
    <d v="2022-03-17T00:00:00"/>
    <d v="2022-03-24T00:00:00"/>
    <n v="32"/>
    <n v="5"/>
    <n v="1400"/>
    <n v="0"/>
    <m/>
    <m/>
    <m/>
    <m/>
    <n v="0"/>
    <d v="2022-04-08T00:00:00"/>
    <d v="2022-04-15T00:00:00"/>
    <n v="5"/>
    <n v="1400"/>
    <s v="0.0%"/>
    <m/>
    <m/>
    <m/>
    <n v="1"/>
    <n v="0"/>
    <n v="1400"/>
    <n v="0"/>
    <x v="32"/>
    <x v="34"/>
  </r>
  <r>
    <n v="-18"/>
    <s v="PROCESSO"/>
    <n v="18"/>
    <m/>
    <s v="REVESTIMENTO DA CIRCULAçãO"/>
    <n v="311.93"/>
    <s v="M²"/>
    <n v="0"/>
    <d v="2022-02-24T00:00:00"/>
    <d v="2022-03-24T00:00:00"/>
    <n v="32"/>
    <n v="20"/>
    <n v="14469.2"/>
    <m/>
    <m/>
    <m/>
    <m/>
    <m/>
    <m/>
    <d v="2022-03-18T00:00:00"/>
    <d v="2022-04-15T00:00:00"/>
    <n v="20"/>
    <n v="14469.2"/>
    <s v="0.0%"/>
    <m/>
    <m/>
    <m/>
    <m/>
    <m/>
    <m/>
    <m/>
    <x v="0"/>
    <x v="0"/>
  </r>
  <r>
    <s v="   18.1"/>
    <s v="atividade"/>
    <s v="PAV 1"/>
    <s v="REVESTIMENTO DA CIRCULAçãO"/>
    <s v="EST/ACAB-&gt;PAV 1"/>
    <n v="106.44"/>
    <s v="M²"/>
    <n v="0"/>
    <d v="2022-02-24T00:00:00"/>
    <d v="2022-03-03T00:00:00"/>
    <n v="29"/>
    <n v="5"/>
    <n v="4908.7"/>
    <n v="0"/>
    <m/>
    <m/>
    <m/>
    <m/>
    <n v="0"/>
    <d v="2022-03-18T00:00:00"/>
    <d v="2022-03-25T00:00:00"/>
    <n v="5"/>
    <n v="4908.7"/>
    <s v="0.0%"/>
    <m/>
    <m/>
    <m/>
    <n v="0.28742225293711127"/>
    <n v="0.71257774706288879"/>
    <n v="1410.8696129923981"/>
    <n v="3497.830387007602"/>
    <x v="29"/>
    <x v="31"/>
  </r>
  <r>
    <s v="   18.2"/>
    <s v="atividade"/>
    <s v="PAV 2"/>
    <s v="REVESTIMENTO DA CIRCULAçãO"/>
    <s v="EST/ACAB-&gt;PAV 2"/>
    <n v="77.150000000000006"/>
    <s v="M²"/>
    <n v="0"/>
    <d v="2022-03-03T00:00:00"/>
    <d v="2022-03-10T00:00:00"/>
    <n v="30"/>
    <n v="5"/>
    <n v="3892.2"/>
    <n v="0"/>
    <m/>
    <m/>
    <m/>
    <m/>
    <n v="0"/>
    <d v="2022-03-25T00:00:00"/>
    <d v="2022-04-01T00:00:00"/>
    <n v="5"/>
    <n v="3892.2"/>
    <s v="0.0%"/>
    <m/>
    <m/>
    <m/>
    <n v="0.28742225293711127"/>
    <n v="0.71257774706288879"/>
    <n v="1118.7048928818244"/>
    <n v="2773.4951071181758"/>
    <x v="30"/>
    <x v="32"/>
  </r>
  <r>
    <s v="   18.3"/>
    <s v="atividade"/>
    <s v="PAV 3"/>
    <s v="REVESTIMENTO DA CIRCULAçãO"/>
    <s v="EST/ACAB-&gt;PAV 3"/>
    <n v="77.150000000000006"/>
    <s v="M²"/>
    <n v="0"/>
    <d v="2022-03-10T00:00:00"/>
    <d v="2022-03-17T00:00:00"/>
    <n v="31"/>
    <n v="5"/>
    <n v="3892.2"/>
    <n v="0"/>
    <m/>
    <m/>
    <m/>
    <m/>
    <n v="0"/>
    <d v="2022-04-01T00:00:00"/>
    <d v="2022-04-08T00:00:00"/>
    <n v="5"/>
    <n v="3892.2"/>
    <s v="0.0%"/>
    <m/>
    <m/>
    <m/>
    <n v="0.28742225293711127"/>
    <n v="0.71257774706288879"/>
    <n v="1118.7048928818244"/>
    <n v="2773.4951071181758"/>
    <x v="31"/>
    <x v="33"/>
  </r>
  <r>
    <s v="   18.4"/>
    <s v="atividade"/>
    <s v="PAV 4"/>
    <s v="REVESTIMENTO DA CIRCULAçãO"/>
    <s v="EST/ACAB-&gt;PAV 4"/>
    <n v="51.19"/>
    <s v="M²"/>
    <n v="0"/>
    <d v="2022-03-17T00:00:00"/>
    <d v="2022-03-24T00:00:00"/>
    <n v="32"/>
    <n v="5"/>
    <n v="1776.1"/>
    <n v="0"/>
    <m/>
    <m/>
    <m/>
    <m/>
    <n v="0"/>
    <d v="2022-04-08T00:00:00"/>
    <d v="2022-04-15T00:00:00"/>
    <n v="5"/>
    <n v="1776.1"/>
    <s v="0.0%"/>
    <m/>
    <m/>
    <m/>
    <n v="0.28742225293711127"/>
    <n v="0.71257774706288879"/>
    <n v="510.49066344160332"/>
    <n v="1265.6093365583968"/>
    <x v="32"/>
    <x v="34"/>
  </r>
  <r>
    <n v="-19"/>
    <s v="PROCESSO"/>
    <n v="19"/>
    <m/>
    <s v="PINTURA INTERNA - 1ªDMãO"/>
    <n v="2458.25"/>
    <s v="M²"/>
    <n v="0"/>
    <d v="2022-03-03T00:00:00"/>
    <d v="2022-03-31T00:00:00"/>
    <n v="33"/>
    <n v="20"/>
    <n v="59198.6"/>
    <m/>
    <m/>
    <m/>
    <m/>
    <m/>
    <m/>
    <d v="2022-03-25T00:00:00"/>
    <d v="2022-04-22T00:00:00"/>
    <n v="20"/>
    <n v="59198.6"/>
    <s v="0.0%"/>
    <m/>
    <m/>
    <m/>
    <m/>
    <m/>
    <m/>
    <m/>
    <x v="0"/>
    <x v="0"/>
  </r>
  <r>
    <s v="   19.1"/>
    <s v="atividade"/>
    <s v="PAV 1"/>
    <s v="PINTURA INTERNA - 1ªDMãO"/>
    <s v="EST/ACAB-&gt;PAV 1"/>
    <n v="613.75"/>
    <s v="M²"/>
    <n v="0"/>
    <d v="2022-03-03T00:00:00"/>
    <d v="2022-03-10T00:00:00"/>
    <n v="30"/>
    <n v="5"/>
    <n v="14782.4"/>
    <n v="0"/>
    <m/>
    <m/>
    <m/>
    <m/>
    <n v="0"/>
    <d v="2022-03-25T00:00:00"/>
    <d v="2022-04-01T00:00:00"/>
    <n v="5"/>
    <n v="14782.4"/>
    <s v="0.0%"/>
    <m/>
    <m/>
    <m/>
    <n v="0.52623399439170238"/>
    <n v="0.47376600560829757"/>
    <n v="7779.0013986959011"/>
    <n v="7003.3986013040976"/>
    <x v="30"/>
    <x v="32"/>
  </r>
  <r>
    <s v="   19.2"/>
    <s v="atividade"/>
    <s v="PAV 2"/>
    <s v="PINTURA INTERNA - 1ªDMãO"/>
    <s v="EST/ACAB-&gt;PAV 2"/>
    <n v="614.85"/>
    <s v="M²"/>
    <n v="0"/>
    <d v="2022-03-10T00:00:00"/>
    <d v="2022-03-17T00:00:00"/>
    <n v="31"/>
    <n v="5"/>
    <n v="14806.1"/>
    <n v="0"/>
    <m/>
    <m/>
    <m/>
    <m/>
    <n v="0"/>
    <d v="2022-04-01T00:00:00"/>
    <d v="2022-04-08T00:00:00"/>
    <n v="5"/>
    <n v="14806.1"/>
    <s v="0.0%"/>
    <m/>
    <m/>
    <m/>
    <n v="0.52623399439170238"/>
    <n v="0.47376600560829757"/>
    <n v="7791.4731443629844"/>
    <n v="7014.6268556370151"/>
    <x v="31"/>
    <x v="33"/>
  </r>
  <r>
    <s v="   19.3"/>
    <s v="atividade"/>
    <s v="PAV 3"/>
    <s v="PINTURA INTERNA - 1ªDMãO"/>
    <s v="EST/ACAB-&gt;PAV 3"/>
    <n v="614.85"/>
    <s v="M²"/>
    <n v="0"/>
    <d v="2022-03-17T00:00:00"/>
    <d v="2022-03-24T00:00:00"/>
    <n v="32"/>
    <n v="5"/>
    <n v="14806.1"/>
    <n v="0"/>
    <m/>
    <m/>
    <m/>
    <m/>
    <n v="0"/>
    <d v="2022-04-08T00:00:00"/>
    <d v="2022-04-15T00:00:00"/>
    <n v="5"/>
    <n v="14806.1"/>
    <s v="0.0%"/>
    <m/>
    <m/>
    <m/>
    <n v="0.52623399439170238"/>
    <n v="0.47376600560829757"/>
    <n v="7791.4731443629844"/>
    <n v="7014.6268556370151"/>
    <x v="32"/>
    <x v="34"/>
  </r>
  <r>
    <s v="   19.4"/>
    <s v="atividade"/>
    <s v="PAV 4"/>
    <s v="PINTURA INTERNA - 1ªDMãO"/>
    <s v="EST/ACAB-&gt;PAV 4"/>
    <n v="614.79"/>
    <s v="M²"/>
    <n v="0"/>
    <d v="2022-03-24T00:00:00"/>
    <d v="2022-03-31T00:00:00"/>
    <n v="33"/>
    <n v="5"/>
    <n v="14804"/>
    <n v="0"/>
    <m/>
    <m/>
    <m/>
    <m/>
    <n v="0"/>
    <d v="2022-04-15T00:00:00"/>
    <d v="2022-04-22T00:00:00"/>
    <n v="5"/>
    <n v="14804"/>
    <s v="0.0%"/>
    <m/>
    <m/>
    <m/>
    <n v="0.52623399439170238"/>
    <n v="0.47376600560829757"/>
    <n v="7790.3680529747617"/>
    <n v="7013.6319470252374"/>
    <x v="33"/>
    <x v="35"/>
  </r>
  <r>
    <n v="-20"/>
    <s v="PROCESSO"/>
    <n v="20"/>
    <m/>
    <s v="ESQUADRIAS DE FERRO"/>
    <n v="16.7"/>
    <s v="M"/>
    <n v="0"/>
    <d v="2022-03-22T00:00:00"/>
    <d v="2022-03-25T00:00:00"/>
    <n v="32"/>
    <n v="3"/>
    <n v="8216.1"/>
    <m/>
    <m/>
    <m/>
    <m/>
    <m/>
    <m/>
    <d v="2022-04-01T00:00:00"/>
    <d v="2022-04-18T00:00:00"/>
    <n v="3"/>
    <n v="8216.1"/>
    <s v="0.0%"/>
    <m/>
    <m/>
    <m/>
    <m/>
    <m/>
    <m/>
    <m/>
    <x v="0"/>
    <x v="0"/>
  </r>
  <r>
    <s v="   20.1"/>
    <s v="atividade"/>
    <s v="PAV 2"/>
    <s v="ESQUADRIAS DE FERRO"/>
    <s v="EST/ACAB-&gt;PAV 2"/>
    <n v="5.57"/>
    <s v="M"/>
    <n v="0"/>
    <d v="2022-03-22T00:00:00"/>
    <d v="2022-03-23T00:00:00"/>
    <n v="32"/>
    <n v="1"/>
    <n v="2738.7"/>
    <n v="0"/>
    <m/>
    <m/>
    <m/>
    <m/>
    <n v="0"/>
    <d v="2022-04-01T00:00:00"/>
    <d v="2022-04-04T00:00:00"/>
    <n v="1"/>
    <n v="2738.7"/>
    <s v="0.0%"/>
    <m/>
    <m/>
    <m/>
    <n v="0"/>
    <n v="1"/>
    <n v="0"/>
    <n v="2738.7"/>
    <x v="34"/>
    <x v="36"/>
  </r>
  <r>
    <s v="   20.2"/>
    <s v="atividade"/>
    <s v="PAV 3"/>
    <s v="ESQUADRIAS DE FERRO"/>
    <s v="EST/ACAB-&gt;PAV 3"/>
    <n v="5.57"/>
    <s v="M"/>
    <n v="0"/>
    <d v="2022-03-23T00:00:00"/>
    <d v="2022-03-24T00:00:00"/>
    <n v="32"/>
    <n v="1"/>
    <n v="2738.7"/>
    <n v="0"/>
    <m/>
    <m/>
    <m/>
    <m/>
    <n v="0"/>
    <d v="2022-04-08T00:00:00"/>
    <d v="2022-04-11T00:00:00"/>
    <n v="1"/>
    <n v="2738.7"/>
    <s v="0.0%"/>
    <m/>
    <m/>
    <m/>
    <n v="0"/>
    <n v="1"/>
    <n v="0"/>
    <n v="2738.7"/>
    <x v="35"/>
    <x v="34"/>
  </r>
  <r>
    <s v="   20.3"/>
    <s v="atividade"/>
    <s v="PAV 4"/>
    <s v="ESQUADRIAS DE FERRO"/>
    <s v="EST/ACAB-&gt;PAV 4"/>
    <n v="5.57"/>
    <s v="M"/>
    <n v="0"/>
    <d v="2022-03-24T00:00:00"/>
    <d v="2022-03-25T00:00:00"/>
    <n v="32"/>
    <n v="1"/>
    <n v="2738.7"/>
    <n v="0"/>
    <m/>
    <m/>
    <m/>
    <m/>
    <n v="0"/>
    <d v="2022-04-15T00:00:00"/>
    <d v="2022-04-18T00:00:00"/>
    <n v="1"/>
    <n v="2738.7"/>
    <s v="0.0%"/>
    <m/>
    <m/>
    <m/>
    <n v="0"/>
    <n v="1"/>
    <n v="0"/>
    <n v="2738.7"/>
    <x v="33"/>
    <x v="37"/>
  </r>
  <r>
    <n v="-21"/>
    <s v="PROCESSO"/>
    <n v="21"/>
    <m/>
    <s v="LOUçAS"/>
    <n v="128"/>
    <s v="TORRE"/>
    <n v="0"/>
    <d v="2022-03-10T00:00:00"/>
    <d v="2022-04-07T00:00:00"/>
    <n v="34"/>
    <n v="20"/>
    <n v="20944.099999999999"/>
    <m/>
    <m/>
    <m/>
    <m/>
    <m/>
    <m/>
    <d v="2022-04-01T00:00:00"/>
    <d v="2022-04-29T00:00:00"/>
    <n v="20"/>
    <n v="20944.099999999999"/>
    <s v="0.0%"/>
    <m/>
    <m/>
    <m/>
    <m/>
    <m/>
    <m/>
    <m/>
    <x v="0"/>
    <x v="0"/>
  </r>
  <r>
    <s v="   21.1"/>
    <s v="atividade"/>
    <s v="PAV 1"/>
    <s v="LOUçAS"/>
    <s v="EST/ACAB-&gt;PAV 1"/>
    <n v="32"/>
    <s v="TORRE"/>
    <n v="0"/>
    <d v="2022-03-10T00:00:00"/>
    <d v="2022-03-17T00:00:00"/>
    <n v="31"/>
    <n v="5"/>
    <n v="5236"/>
    <n v="0"/>
    <m/>
    <m/>
    <m/>
    <m/>
    <n v="0"/>
    <d v="2022-04-01T00:00:00"/>
    <d v="2022-04-08T00:00:00"/>
    <n v="5"/>
    <n v="5236"/>
    <s v="0.0%"/>
    <m/>
    <m/>
    <m/>
    <n v="0.15279568352194051"/>
    <n v="0.84720431647805949"/>
    <n v="800.03819892088052"/>
    <n v="4435.9618010791191"/>
    <x v="31"/>
    <x v="33"/>
  </r>
  <r>
    <s v="   21.2"/>
    <s v="atividade"/>
    <s v="PAV 2"/>
    <s v="LOUçAS"/>
    <s v="EST/ACAB-&gt;PAV 2"/>
    <n v="32"/>
    <s v="TORRE"/>
    <n v="0"/>
    <d v="2022-03-17T00:00:00"/>
    <d v="2022-03-24T00:00:00"/>
    <n v="32"/>
    <n v="5"/>
    <n v="5236"/>
    <n v="0"/>
    <m/>
    <m/>
    <m/>
    <m/>
    <n v="0"/>
    <d v="2022-04-08T00:00:00"/>
    <d v="2022-04-15T00:00:00"/>
    <n v="5"/>
    <n v="5236"/>
    <s v="0.0%"/>
    <m/>
    <m/>
    <m/>
    <n v="0.15279568352194051"/>
    <n v="0.84720431647805949"/>
    <n v="800.03819892088052"/>
    <n v="4435.9618010791191"/>
    <x v="32"/>
    <x v="34"/>
  </r>
  <r>
    <s v="   21.3"/>
    <s v="atividade"/>
    <s v="PAV 3"/>
    <s v="LOUçAS"/>
    <s v="EST/ACAB-&gt;PAV 3"/>
    <n v="32"/>
    <s v="TORRE"/>
    <n v="0"/>
    <d v="2022-03-24T00:00:00"/>
    <d v="2022-03-31T00:00:00"/>
    <n v="33"/>
    <n v="5"/>
    <n v="5236"/>
    <n v="0"/>
    <m/>
    <m/>
    <m/>
    <m/>
    <n v="0"/>
    <d v="2022-04-15T00:00:00"/>
    <d v="2022-04-22T00:00:00"/>
    <n v="5"/>
    <n v="5236"/>
    <s v="0.0%"/>
    <m/>
    <m/>
    <m/>
    <n v="0.15279568352194051"/>
    <n v="0.84720431647805949"/>
    <n v="800.03819892088052"/>
    <n v="4435.9618010791191"/>
    <x v="33"/>
    <x v="35"/>
  </r>
  <r>
    <s v="   21.4"/>
    <s v="atividade"/>
    <s v="PAV 4"/>
    <s v="LOUçAS"/>
    <s v="EST/ACAB-&gt;PAV 4"/>
    <n v="32"/>
    <s v="TORRE"/>
    <n v="0"/>
    <d v="2022-03-31T00:00:00"/>
    <d v="2022-04-07T00:00:00"/>
    <n v="34"/>
    <n v="5"/>
    <n v="5236"/>
    <n v="0"/>
    <m/>
    <m/>
    <m/>
    <m/>
    <n v="0"/>
    <d v="2022-04-22T00:00:00"/>
    <d v="2022-04-29T00:00:00"/>
    <n v="5"/>
    <n v="5236"/>
    <s v="0.0%"/>
    <m/>
    <m/>
    <m/>
    <n v="0.15279568352194051"/>
    <n v="0.84720431647805949"/>
    <n v="800.03819892088052"/>
    <n v="4435.9618010791191"/>
    <x v="36"/>
    <x v="38"/>
  </r>
  <r>
    <n v="-22"/>
    <s v="PROCESSO"/>
    <n v="22"/>
    <m/>
    <s v="PISO VINILICO"/>
    <n v="647.01"/>
    <s v="M²"/>
    <n v="0"/>
    <d v="2022-04-07T00:00:00"/>
    <d v="2022-05-05T00:00:00"/>
    <n v="38"/>
    <n v="20"/>
    <n v="52685"/>
    <m/>
    <m/>
    <m/>
    <m/>
    <m/>
    <m/>
    <d v="2022-04-26T00:00:00"/>
    <d v="2022-05-24T00:00:00"/>
    <n v="20"/>
    <n v="52685"/>
    <s v="0.0%"/>
    <m/>
    <m/>
    <m/>
    <m/>
    <m/>
    <m/>
    <m/>
    <x v="0"/>
    <x v="0"/>
  </r>
  <r>
    <s v="   22.1"/>
    <s v="atividade"/>
    <s v="PAV 1"/>
    <s v="PISO VINILICO"/>
    <s v="EST/ACAB-&gt;PAV 1"/>
    <n v="161.75"/>
    <s v="M²"/>
    <n v="0"/>
    <d v="2022-04-07T00:00:00"/>
    <d v="2022-04-14T00:00:00"/>
    <n v="35"/>
    <n v="5"/>
    <n v="13171.3"/>
    <n v="0"/>
    <m/>
    <m/>
    <m/>
    <m/>
    <n v="0"/>
    <n v="44677"/>
    <d v="2022-05-03T00:00:00"/>
    <d v="1900-01-04T00:00:00"/>
    <n v="13171.3"/>
    <s v="0.0%"/>
    <m/>
    <m/>
    <m/>
    <n v="0.15351618107620765"/>
    <n v="0.84648381892379232"/>
    <n v="2022.0076758090538"/>
    <n v="11149.292324190945"/>
    <x v="37"/>
    <x v="39"/>
  </r>
  <r>
    <s v="   22.2"/>
    <s v="atividade"/>
    <s v="PAV 2"/>
    <s v="PISO VINILICO"/>
    <s v="EST/ACAB-&gt;PAV 2"/>
    <n v="161.75"/>
    <s v="M²"/>
    <n v="0"/>
    <d v="2022-04-14T00:00:00"/>
    <d v="2022-04-21T00:00:00"/>
    <n v="36"/>
    <n v="5"/>
    <n v="13171.3"/>
    <n v="0"/>
    <m/>
    <m/>
    <m/>
    <m/>
    <n v="0"/>
    <n v="44684"/>
    <d v="2022-05-10T00:00:00"/>
    <d v="1900-01-04T00:00:00"/>
    <n v="13171.3"/>
    <s v="0.0%"/>
    <m/>
    <m/>
    <m/>
    <n v="0.15351618107620765"/>
    <n v="0.84648381892379232"/>
    <n v="2022.0076758090538"/>
    <n v="11149.292324190945"/>
    <x v="38"/>
    <x v="40"/>
  </r>
  <r>
    <s v="   22.3"/>
    <s v="atividade"/>
    <s v="PAV 3"/>
    <s v="PISO VINILICO"/>
    <s v="EST/ACAB-&gt;PAV 3"/>
    <n v="161.75"/>
    <s v="M²"/>
    <n v="0"/>
    <d v="2022-04-21T00:00:00"/>
    <d v="2022-04-28T00:00:00"/>
    <n v="37"/>
    <n v="5"/>
    <n v="13171.3"/>
    <n v="0"/>
    <m/>
    <m/>
    <m/>
    <m/>
    <n v="0"/>
    <n v="44691"/>
    <d v="2022-05-17T00:00:00"/>
    <d v="1900-01-04T00:00:00"/>
    <n v="13171.3"/>
    <s v="0.0%"/>
    <m/>
    <m/>
    <m/>
    <n v="0.15351618107620765"/>
    <n v="0.84648381892379232"/>
    <n v="2022.0076758090538"/>
    <n v="11149.292324190945"/>
    <x v="39"/>
    <x v="41"/>
  </r>
  <r>
    <s v="   22.4"/>
    <s v="atividade"/>
    <s v="PAV 4"/>
    <s v="PISO VINILICO"/>
    <s v="EST/ACAB-&gt;PAV 4"/>
    <n v="161.75"/>
    <s v="M²"/>
    <n v="0"/>
    <d v="2022-04-28T00:00:00"/>
    <d v="2022-05-05T00:00:00"/>
    <n v="38"/>
    <n v="5"/>
    <n v="13171.3"/>
    <n v="0"/>
    <m/>
    <m/>
    <m/>
    <m/>
    <n v="0"/>
    <n v="44698"/>
    <d v="2022-05-24T00:00:00"/>
    <d v="1900-01-04T00:00:00"/>
    <n v="13171.3"/>
    <s v="0.0%"/>
    <m/>
    <m/>
    <m/>
    <n v="0.15351618107620765"/>
    <n v="0.84648381892379232"/>
    <n v="2022.0076758090538"/>
    <n v="11149.292324190945"/>
    <x v="40"/>
    <x v="42"/>
  </r>
  <r>
    <n v="-30"/>
    <s v="PROCESSO"/>
    <n v="23"/>
    <m/>
    <s v="PORTAS DE MADEIRA"/>
    <n v="80"/>
    <s v="UN"/>
    <n v="0"/>
    <d v="2022-03-31T00:00:00"/>
    <d v="2022-04-14T00:00:00"/>
    <n v="35"/>
    <n v="10"/>
    <n v="41600"/>
    <m/>
    <m/>
    <m/>
    <m/>
    <m/>
    <m/>
    <d v="2022-04-15T00:00:00"/>
    <d v="2022-05-06T00:00:00"/>
    <n v="10"/>
    <n v="41600"/>
    <s v="0.0%"/>
    <m/>
    <m/>
    <m/>
    <m/>
    <m/>
    <m/>
    <m/>
    <x v="0"/>
    <x v="0"/>
  </r>
  <r>
    <s v="   30.1"/>
    <s v="atividade"/>
    <s v="PAV 1"/>
    <s v="PORTAS DE MADEIRA"/>
    <s v="EST/ACAB-&gt;PAV 1"/>
    <n v="20"/>
    <s v="UN"/>
    <n v="0"/>
    <d v="2022-03-31T00:00:00"/>
    <d v="2022-04-04T00:00:00"/>
    <n v="34"/>
    <n v="2.5"/>
    <n v="10400"/>
    <n v="0"/>
    <m/>
    <m/>
    <m/>
    <m/>
    <n v="0"/>
    <d v="2022-04-15T00:00:00"/>
    <d v="2022-04-19T00:00:00"/>
    <n v="2.5"/>
    <n v="10400"/>
    <s v="0.0%"/>
    <m/>
    <m/>
    <m/>
    <n v="0.15384615384615385"/>
    <n v="0.84615384615384615"/>
    <n v="1600"/>
    <n v="8800"/>
    <x v="36"/>
    <x v="43"/>
  </r>
  <r>
    <s v="   30.2"/>
    <s v="atividade"/>
    <s v="PAV 2"/>
    <s v="PORTAS DE MADEIRA"/>
    <s v="EST/ACAB-&gt;PAV 2"/>
    <n v="20"/>
    <s v="UN"/>
    <n v="0"/>
    <d v="2022-04-04T00:00:00"/>
    <d v="2022-04-07T00:00:00"/>
    <n v="34"/>
    <n v="2.5"/>
    <n v="10400"/>
    <n v="0"/>
    <m/>
    <m/>
    <m/>
    <m/>
    <n v="0"/>
    <d v="2022-04-22T00:00:00"/>
    <d v="2022-04-26T00:00:00"/>
    <n v="2.5"/>
    <n v="10400"/>
    <s v="0.0%"/>
    <m/>
    <m/>
    <m/>
    <n v="0.15384615384615385"/>
    <n v="0.84615384615384615"/>
    <n v="1600"/>
    <n v="8800"/>
    <x v="41"/>
    <x v="38"/>
  </r>
  <r>
    <s v="   30.3"/>
    <s v="atividade"/>
    <s v="PAV 3"/>
    <s v="PORTAS DE MADEIRA"/>
    <s v="EST/ACAB-&gt;PAV 3"/>
    <n v="20"/>
    <s v="UN"/>
    <n v="0"/>
    <d v="2022-04-07T00:00:00"/>
    <d v="2022-04-11T00:00:00"/>
    <n v="35"/>
    <n v="2.5"/>
    <n v="10400"/>
    <n v="0"/>
    <m/>
    <m/>
    <m/>
    <m/>
    <n v="0"/>
    <d v="2022-04-29T00:00:00"/>
    <d v="2022-05-03T00:00:00"/>
    <n v="2.5"/>
    <n v="10400"/>
    <s v="0.0%"/>
    <m/>
    <m/>
    <m/>
    <n v="0.15384615384615385"/>
    <n v="0.84615384615384615"/>
    <n v="1600"/>
    <n v="8800"/>
    <x v="37"/>
    <x v="44"/>
  </r>
  <r>
    <s v="   30.4"/>
    <s v="atividade"/>
    <s v="PAV 4"/>
    <s v="PORTAS DE MADEIRA"/>
    <s v="EST/ACAB-&gt;PAV 4"/>
    <n v="20"/>
    <s v="UN"/>
    <n v="0"/>
    <d v="2022-04-11T00:00:00"/>
    <d v="2022-04-14T00:00:00"/>
    <n v="35"/>
    <n v="2.5"/>
    <n v="10400"/>
    <n v="0"/>
    <m/>
    <m/>
    <m/>
    <m/>
    <n v="0"/>
    <d v="2022-05-03T00:00:00"/>
    <d v="2022-05-06T00:00:00"/>
    <n v="2.5"/>
    <n v="10400"/>
    <s v="0.0%"/>
    <m/>
    <m/>
    <m/>
    <n v="0.15384615384615385"/>
    <n v="0.84615384615384615"/>
    <n v="1600"/>
    <n v="8800"/>
    <x v="42"/>
    <x v="39"/>
  </r>
  <r>
    <n v="-23"/>
    <s v="PROCESSO"/>
    <n v="24"/>
    <m/>
    <s v="METAIS "/>
    <n v="96"/>
    <s v="TORRE"/>
    <n v="0"/>
    <d v="2022-04-25T00:00:00"/>
    <d v="2022-05-09T00:00:00"/>
    <n v="39"/>
    <n v="10"/>
    <n v="5360.2"/>
    <m/>
    <m/>
    <m/>
    <m/>
    <m/>
    <m/>
    <d v="2022-05-03T00:00:00"/>
    <d v="2022-05-27T00:00:00"/>
    <n v="10"/>
    <n v="5360.2"/>
    <s v="0.0%"/>
    <m/>
    <m/>
    <m/>
    <m/>
    <m/>
    <m/>
    <m/>
    <x v="0"/>
    <x v="0"/>
  </r>
  <r>
    <s v="   23.1"/>
    <s v="atividade"/>
    <s v="PAV 1"/>
    <s v="METAIS "/>
    <s v="EST/ACAB-&gt;PAV 1"/>
    <n v="24"/>
    <s v="TORRE"/>
    <n v="0"/>
    <d v="2022-04-25T00:00:00"/>
    <d v="2022-04-28T00:00:00"/>
    <n v="37"/>
    <n v="2.5"/>
    <n v="1340"/>
    <n v="0"/>
    <m/>
    <m/>
    <m/>
    <m/>
    <n v="0"/>
    <d v="2022-05-03T00:00:00"/>
    <d v="2022-05-06T00:00:00"/>
    <n v="2.5"/>
    <n v="1340"/>
    <s v="0.0%"/>
    <m/>
    <m/>
    <m/>
    <n v="0.44776119402985076"/>
    <n v="0.55223880597014929"/>
    <n v="600"/>
    <n v="740"/>
    <x v="43"/>
    <x v="41"/>
  </r>
  <r>
    <s v="   23.2"/>
    <s v="atividade"/>
    <s v="PAV 2"/>
    <s v="METAIS "/>
    <s v="EST/ACAB-&gt;PAV 2"/>
    <n v="24"/>
    <s v="TORRE"/>
    <n v="0"/>
    <d v="2022-04-28T00:00:00"/>
    <d v="2022-05-02T00:00:00"/>
    <n v="38"/>
    <n v="2.5"/>
    <n v="1340"/>
    <n v="0"/>
    <m/>
    <m/>
    <m/>
    <m/>
    <n v="0"/>
    <d v="2022-05-10T00:00:00"/>
    <d v="2022-05-13T00:00:00"/>
    <n v="2.5"/>
    <n v="1340"/>
    <s v="0.0%"/>
    <m/>
    <m/>
    <m/>
    <n v="0.44776119402985076"/>
    <n v="0.55223880597014929"/>
    <n v="600"/>
    <n v="740"/>
    <x v="40"/>
    <x v="45"/>
  </r>
  <r>
    <s v="   23.3"/>
    <s v="atividade"/>
    <s v="PAV 3"/>
    <s v="METAIS "/>
    <s v="EST/ACAB-&gt;PAV 3"/>
    <n v="24"/>
    <s v="TORRE"/>
    <n v="0"/>
    <d v="2022-05-02T00:00:00"/>
    <d v="2022-05-05T00:00:00"/>
    <n v="38"/>
    <n v="2.5"/>
    <n v="1340"/>
    <n v="0"/>
    <m/>
    <m/>
    <m/>
    <m/>
    <n v="0"/>
    <d v="2022-05-17T00:00:00"/>
    <d v="2022-05-20T00:00:00"/>
    <n v="2.5"/>
    <n v="1340"/>
    <s v="0.0%"/>
    <m/>
    <m/>
    <m/>
    <n v="0.44776119402985076"/>
    <n v="0.55223880597014929"/>
    <n v="600"/>
    <n v="740"/>
    <x v="44"/>
    <x v="42"/>
  </r>
  <r>
    <s v="   23.4"/>
    <s v="atividade"/>
    <s v="PAV 4"/>
    <s v="METAIS "/>
    <s v="EST/ACAB-&gt;PAV 4"/>
    <n v="24"/>
    <s v="TORRE"/>
    <n v="0"/>
    <d v="2022-05-05T00:00:00"/>
    <d v="2022-05-09T00:00:00"/>
    <n v="39"/>
    <n v="2.5"/>
    <n v="1340"/>
    <n v="0"/>
    <m/>
    <m/>
    <m/>
    <m/>
    <n v="0"/>
    <d v="2022-05-24T00:00:00"/>
    <d v="2022-05-27T00:00:00"/>
    <n v="2.5"/>
    <n v="1340"/>
    <s v="0.0%"/>
    <m/>
    <m/>
    <m/>
    <n v="0.44776119402985076"/>
    <n v="0.55223880597014929"/>
    <n v="600"/>
    <n v="740"/>
    <x v="45"/>
    <x v="46"/>
  </r>
  <r>
    <n v="-24"/>
    <s v="PROCESSO"/>
    <n v="26"/>
    <m/>
    <s v="PINTURA FINAL"/>
    <n v="2458.25"/>
    <s v="M²"/>
    <n v="0"/>
    <d v="2022-04-28T00:00:00"/>
    <d v="2022-05-26T00:00:00"/>
    <n v="41"/>
    <n v="20"/>
    <n v="14749.5"/>
    <m/>
    <m/>
    <m/>
    <m/>
    <m/>
    <m/>
    <d v="2022-05-06T00:00:00"/>
    <d v="2022-06-06T00:00:00"/>
    <n v="20"/>
    <n v="14749.5"/>
    <s v="0.0%"/>
    <m/>
    <m/>
    <m/>
    <m/>
    <m/>
    <m/>
    <m/>
    <x v="0"/>
    <x v="0"/>
  </r>
  <r>
    <s v="   24.1"/>
    <s v="atividade"/>
    <s v="PAV 1"/>
    <s v="PINTURA FINAL"/>
    <s v="EST/ACAB-&gt;PAV 1"/>
    <n v="613.75"/>
    <s v="M²"/>
    <n v="0"/>
    <d v="2022-04-28T00:00:00"/>
    <d v="2022-05-05T00:00:00"/>
    <n v="38"/>
    <n v="5"/>
    <n v="3682.5"/>
    <n v="0"/>
    <m/>
    <m/>
    <m/>
    <m/>
    <n v="0"/>
    <d v="2022-05-06T00:00:00"/>
    <d v="2022-05-13T00:00:00"/>
    <n v="5"/>
    <n v="3682.5"/>
    <s v="0.0%"/>
    <m/>
    <m/>
    <m/>
    <n v="1"/>
    <n v="0"/>
    <n v="3682.5"/>
    <n v="0"/>
    <x v="40"/>
    <x v="42"/>
  </r>
  <r>
    <s v="   24.2"/>
    <s v="atividade"/>
    <s v="PAV 2"/>
    <s v="PINTURA FINAL"/>
    <s v="EST/ACAB-&gt;PAV 2"/>
    <n v="614.85"/>
    <s v="M²"/>
    <n v="0"/>
    <d v="2022-05-05T00:00:00"/>
    <d v="2022-05-12T00:00:00"/>
    <n v="39"/>
    <n v="5"/>
    <n v="3689.1"/>
    <n v="0"/>
    <m/>
    <m/>
    <m/>
    <m/>
    <n v="0"/>
    <d v="2022-05-13T00:00:00"/>
    <d v="2022-05-20T00:00:00"/>
    <n v="5"/>
    <n v="3689.1"/>
    <s v="0.0%"/>
    <m/>
    <m/>
    <m/>
    <n v="1"/>
    <n v="0"/>
    <n v="3689.1"/>
    <n v="0"/>
    <x v="45"/>
    <x v="47"/>
  </r>
  <r>
    <s v="   24.3"/>
    <s v="atividade"/>
    <s v="PAV 3"/>
    <s v="PINTURA FINAL"/>
    <s v="EST/ACAB-&gt;PAV 3"/>
    <n v="614.85"/>
    <s v="M²"/>
    <n v="0"/>
    <d v="2022-05-12T00:00:00"/>
    <d v="2022-05-19T00:00:00"/>
    <n v="40"/>
    <n v="5"/>
    <n v="3689.1"/>
    <n v="0"/>
    <m/>
    <m/>
    <m/>
    <m/>
    <n v="0"/>
    <d v="2022-05-20T00:00:00"/>
    <d v="2022-05-27T00:00:00"/>
    <n v="5"/>
    <n v="3689.1"/>
    <s v="0.0%"/>
    <m/>
    <m/>
    <m/>
    <n v="1"/>
    <n v="0"/>
    <n v="3689.1"/>
    <n v="0"/>
    <x v="46"/>
    <x v="48"/>
  </r>
  <r>
    <s v="   24.4"/>
    <s v="atividade"/>
    <s v="PAV 4"/>
    <s v="PINTURA FINAL"/>
    <s v="EST/ACAB-&gt;PAV 4"/>
    <n v="614.79"/>
    <s v="M²"/>
    <n v="0"/>
    <d v="2022-05-19T00:00:00"/>
    <d v="2022-05-26T00:00:00"/>
    <n v="41"/>
    <n v="5"/>
    <n v="3688.8"/>
    <n v="0"/>
    <m/>
    <m/>
    <m/>
    <m/>
    <n v="0"/>
    <d v="2022-05-27T00:00:00"/>
    <d v="2022-06-06T00:00:00"/>
    <n v="5"/>
    <n v="3688.8"/>
    <s v="0.0%"/>
    <m/>
    <m/>
    <m/>
    <n v="1"/>
    <n v="0"/>
    <n v="3688.8"/>
    <n v="0"/>
    <x v="47"/>
    <x v="49"/>
  </r>
  <r>
    <n v="-25"/>
    <s v="PROCESSO"/>
    <n v="27"/>
    <m/>
    <s v="TELHADO "/>
    <n v="40"/>
    <s v="UN"/>
    <n v="0"/>
    <d v="2021-12-09T00:00:00"/>
    <d v="2021-12-16T00:00:00"/>
    <n v="18"/>
    <n v="5"/>
    <n v="51093"/>
    <m/>
    <m/>
    <m/>
    <m/>
    <m/>
    <m/>
    <d v="2021-12-31T00:00:00"/>
    <d v="2022-01-07T00:00:00"/>
    <n v="5"/>
    <n v="51093"/>
    <s v="0.0%"/>
    <m/>
    <m/>
    <m/>
    <m/>
    <m/>
    <m/>
    <m/>
    <x v="0"/>
    <x v="0"/>
  </r>
  <r>
    <s v="   25.1"/>
    <s v="atividade"/>
    <s v="COB"/>
    <s v="TELHADO "/>
    <s v="EST/ACAB-&gt;COB"/>
    <n v="40"/>
    <s v="UN"/>
    <n v="0"/>
    <d v="2021-12-09T00:00:00"/>
    <d v="2021-12-16T00:00:00"/>
    <n v="18"/>
    <n v="5"/>
    <n v="51093"/>
    <n v="0"/>
    <m/>
    <m/>
    <m/>
    <m/>
    <n v="0"/>
    <d v="2021-12-31T00:00:00"/>
    <d v="2022-01-07T00:00:00"/>
    <n v="5"/>
    <n v="51093"/>
    <s v="0.0%"/>
    <m/>
    <m/>
    <m/>
    <n v="0.48683772728162372"/>
    <n v="0.51316227271837633"/>
    <n v="24874"/>
    <n v="26219.000000000004"/>
    <x v="48"/>
    <x v="50"/>
  </r>
  <r>
    <n v="-26"/>
    <s v="PROCESSO"/>
    <n v="28"/>
    <m/>
    <s v="ALGEROSA + RUFOS"/>
    <n v="1"/>
    <s v="TORRE"/>
    <n v="0"/>
    <d v="2021-12-16T00:00:00"/>
    <d v="2021-12-23T00:00:00"/>
    <n v="19"/>
    <n v="5"/>
    <n v="10092.299999999999"/>
    <m/>
    <m/>
    <m/>
    <m/>
    <m/>
    <m/>
    <d v="2022-01-07T00:00:00"/>
    <d v="2022-01-14T00:00:00"/>
    <n v="5"/>
    <n v="10092.299999999999"/>
    <s v="0.0%"/>
    <m/>
    <m/>
    <m/>
    <m/>
    <m/>
    <m/>
    <m/>
    <x v="0"/>
    <x v="0"/>
  </r>
  <r>
    <s v="   26.1"/>
    <s v="atividade"/>
    <s v="COB"/>
    <s v="ALGEROSA + RUFOS"/>
    <s v="EST/ACAB-&gt;COB"/>
    <n v="1"/>
    <s v="TORRE"/>
    <n v="0"/>
    <d v="2021-12-16T00:00:00"/>
    <d v="2021-12-23T00:00:00"/>
    <n v="19"/>
    <n v="5"/>
    <n v="10092.299999999999"/>
    <n v="0"/>
    <m/>
    <m/>
    <m/>
    <m/>
    <n v="0"/>
    <d v="2022-01-07T00:00:00"/>
    <d v="2022-01-14T00:00:00"/>
    <n v="5"/>
    <n v="10092.299999999999"/>
    <s v="0.0%"/>
    <m/>
    <m/>
    <m/>
    <n v="0.24772096710265556"/>
    <n v="0.75227903289734444"/>
    <n v="2500.0743162901304"/>
    <n v="7592.2256837098685"/>
    <x v="18"/>
    <x v="20"/>
  </r>
  <r>
    <n v="-27"/>
    <s v="PROCESSO"/>
    <n v="29"/>
    <m/>
    <s v="COMPLEMENTAçãO E LIMPEZA"/>
    <n v="1"/>
    <s v="TORRE"/>
    <n v="0"/>
    <d v="2022-05-26T00:00:00"/>
    <d v="2022-06-03T00:00:00"/>
    <n v="42"/>
    <n v="5"/>
    <n v="2000"/>
    <m/>
    <m/>
    <m/>
    <m/>
    <m/>
    <m/>
    <d v="2022-06-06T00:00:00"/>
    <d v="2022-06-13T00:00:00"/>
    <n v="5"/>
    <n v="2000"/>
    <s v="0.0%"/>
    <m/>
    <m/>
    <m/>
    <m/>
    <m/>
    <m/>
    <m/>
    <x v="0"/>
    <x v="0"/>
  </r>
  <r>
    <s v="   27.1"/>
    <s v="atividade"/>
    <s v="EST/ACAB"/>
    <s v="COMPLEMENTAçãO E LIMPEZA"/>
    <s v="EST/ACAB"/>
    <n v="1"/>
    <s v="TORRE"/>
    <n v="0"/>
    <d v="2022-05-26T00:00:00"/>
    <d v="2022-06-03T00:00:00"/>
    <n v="42"/>
    <n v="5"/>
    <n v="2000"/>
    <n v="0"/>
    <m/>
    <m/>
    <m/>
    <m/>
    <n v="0"/>
    <d v="2022-06-06T00:00:00"/>
    <d v="2022-06-13T00:00:00"/>
    <n v="5"/>
    <n v="2000"/>
    <s v="0.0%"/>
    <m/>
    <m/>
    <m/>
    <n v="1"/>
    <n v="0"/>
    <n v="2000"/>
    <n v="0"/>
    <x v="49"/>
    <x v="51"/>
  </r>
  <r>
    <n v="-28"/>
    <s v="PROCESSO"/>
    <n v="30"/>
    <m/>
    <s v="REBOCO EXTERNO"/>
    <n v="745.27"/>
    <s v="M²"/>
    <n v="0"/>
    <d v="2021-12-03T00:00:00"/>
    <d v="2022-01-14T00:00:00"/>
    <n v="22"/>
    <n v="30"/>
    <n v="82892.7"/>
    <m/>
    <m/>
    <m/>
    <m/>
    <m/>
    <m/>
    <d v="2021-12-27T00:00:00"/>
    <d v="2022-02-08T00:00:00"/>
    <n v="30"/>
    <n v="82892.7"/>
    <s v="0.0%"/>
    <m/>
    <m/>
    <m/>
    <m/>
    <m/>
    <m/>
    <m/>
    <x v="0"/>
    <x v="0"/>
  </r>
  <r>
    <s v="   28.3"/>
    <s v="atividade"/>
    <s v="DIREITA"/>
    <s v="REBOCO EXTERNO"/>
    <s v="FAC-&gt;DIREITA"/>
    <n v="124.93"/>
    <s v="M²"/>
    <n v="0"/>
    <d v="2021-12-24T00:00:00"/>
    <d v="2021-12-31T00:00:00"/>
    <n v="20"/>
    <n v="5"/>
    <n v="11086.4"/>
    <n v="0"/>
    <m/>
    <m/>
    <m/>
    <m/>
    <n v="0"/>
    <d v="2022-01-18T00:00:00"/>
    <d v="2022-01-25T00:00:00"/>
    <n v="5"/>
    <n v="11086.4"/>
    <s v="0.0%"/>
    <m/>
    <m/>
    <m/>
    <n v="0.31851905468495528"/>
    <n v="0.68148094531504466"/>
    <n v="3531.229647859288"/>
    <n v="7555.1703521407107"/>
    <x v="50"/>
    <x v="52"/>
  </r>
  <r>
    <s v="   28.1"/>
    <s v="atividade"/>
    <s v="ESQUERDA"/>
    <s v="REBOCO EXTERNO"/>
    <s v="FAC-&gt;ESQUERDA"/>
    <n v="126.24"/>
    <s v="M²"/>
    <n v="0"/>
    <d v="2021-12-03T00:00:00"/>
    <d v="2021-12-10T00:00:00"/>
    <n v="17"/>
    <n v="5"/>
    <n v="11162.8"/>
    <n v="0"/>
    <m/>
    <m/>
    <m/>
    <m/>
    <n v="0"/>
    <d v="2021-12-27T00:00:00"/>
    <d v="2022-01-03T00:00:00"/>
    <n v="5"/>
    <n v="11162.8"/>
    <s v="0.0%"/>
    <m/>
    <m/>
    <m/>
    <n v="0.31851905468495528"/>
    <n v="0.68148094531504466"/>
    <n v="3555.5645036372184"/>
    <n v="7607.2354963627804"/>
    <x v="15"/>
    <x v="16"/>
  </r>
  <r>
    <s v="   28.4"/>
    <s v="atividade"/>
    <s v="FRONTAL"/>
    <s v="REBOCO EXTERNO"/>
    <s v="FAC-&gt;FRONTAL"/>
    <n v="255.83"/>
    <s v="M²"/>
    <n v="0"/>
    <d v="2021-12-31T00:00:00"/>
    <d v="2022-01-14T00:00:00"/>
    <n v="22"/>
    <n v="10"/>
    <n v="31231"/>
    <n v="0"/>
    <m/>
    <m/>
    <m/>
    <m/>
    <n v="0"/>
    <d v="2022-01-25T00:00:00"/>
    <d v="2022-02-08T00:00:00"/>
    <n v="10"/>
    <n v="31231"/>
    <s v="0.0%"/>
    <m/>
    <m/>
    <m/>
    <n v="0.31851905468495528"/>
    <n v="0.68148094531504466"/>
    <n v="9947.6685968658385"/>
    <n v="21283.331403134162"/>
    <x v="51"/>
    <x v="53"/>
  </r>
  <r>
    <s v="   28.2"/>
    <s v="atividade"/>
    <s v="FUNDOS"/>
    <s v="REBOCO EXTERNO"/>
    <s v="FAC-&gt;FUNDOS"/>
    <n v="238.27"/>
    <s v="M²"/>
    <n v="0"/>
    <d v="2021-12-10T00:00:00"/>
    <d v="2021-12-24T00:00:00"/>
    <n v="19"/>
    <n v="10"/>
    <n v="29412.400000000001"/>
    <n v="0"/>
    <m/>
    <m/>
    <m/>
    <m/>
    <n v="0"/>
    <d v="2022-01-03T00:00:00"/>
    <d v="2022-01-18T00:00:00"/>
    <n v="10"/>
    <n v="29412.400000000001"/>
    <s v="0.0%"/>
    <m/>
    <m/>
    <m/>
    <n v="0.31851905468495528"/>
    <n v="0.68148094531504466"/>
    <n v="9368.4098440157795"/>
    <n v="20043.990155984222"/>
    <x v="16"/>
    <x v="18"/>
  </r>
  <r>
    <n v="-29"/>
    <s v="PROCESSO"/>
    <n v="31"/>
    <m/>
    <s v="PINTURA EXTERNA"/>
    <n v="745.27"/>
    <s v="M²/M²"/>
    <n v="0"/>
    <d v="2022-03-10T00:00:00"/>
    <d v="2022-04-21T00:00:00"/>
    <n v="36"/>
    <n v="30"/>
    <n v="37045"/>
    <m/>
    <m/>
    <m/>
    <m/>
    <m/>
    <m/>
    <d v="2022-03-18T00:00:00"/>
    <d v="2022-04-29T00:00:00"/>
    <n v="30"/>
    <n v="37045"/>
    <s v="0.0%"/>
    <m/>
    <m/>
    <m/>
    <m/>
    <m/>
    <m/>
    <m/>
    <x v="0"/>
    <x v="0"/>
  </r>
  <r>
    <s v="   29.3"/>
    <s v="atividade"/>
    <s v="DIREITA"/>
    <s v="PINTURA EXTERNA"/>
    <s v="FAC-&gt;DIREITA"/>
    <n v="124.93"/>
    <s v="M²/M²"/>
    <n v="0"/>
    <d v="2022-03-31T00:00:00"/>
    <d v="2022-04-07T00:00:00"/>
    <n v="34"/>
    <n v="5"/>
    <n v="6209.8"/>
    <n v="0"/>
    <m/>
    <m/>
    <m/>
    <m/>
    <n v="0"/>
    <d v="2022-04-08T00:00:00"/>
    <d v="2022-04-15T00:00:00"/>
    <n v="5"/>
    <n v="6209.8"/>
    <s v="0.0%"/>
    <m/>
    <m/>
    <m/>
    <n v="0.40235935644098908"/>
    <n v="0.59764064355901092"/>
    <n v="2498.5711316272541"/>
    <n v="3711.2288683727461"/>
    <x v="36"/>
    <x v="38"/>
  </r>
  <r>
    <s v="   29.1"/>
    <s v="atividade"/>
    <s v="ESQUERDA"/>
    <s v="PINTURA EXTERNA"/>
    <s v="FAC-&gt;ESQUERDA"/>
    <n v="126.24"/>
    <s v="M²/M²"/>
    <n v="0"/>
    <d v="2022-03-10T00:00:00"/>
    <d v="2022-03-17T00:00:00"/>
    <n v="31"/>
    <n v="5"/>
    <n v="6275.3"/>
    <n v="0"/>
    <m/>
    <m/>
    <m/>
    <m/>
    <n v="0"/>
    <d v="2022-03-18T00:00:00"/>
    <d v="2022-03-25T00:00:00"/>
    <n v="5"/>
    <n v="6275.3"/>
    <s v="0.0%"/>
    <m/>
    <m/>
    <m/>
    <n v="0.40235935644098908"/>
    <n v="0.59764064355901092"/>
    <n v="2524.9256694741389"/>
    <n v="3750.3743305258613"/>
    <x v="31"/>
    <x v="33"/>
  </r>
  <r>
    <s v="   29.4"/>
    <s v="atividade"/>
    <s v="FRONTAL"/>
    <s v="PINTURA EXTERNA"/>
    <s v="FAC-&gt;FRONTAL"/>
    <n v="255.83"/>
    <s v="M²/M²"/>
    <n v="0"/>
    <d v="2022-04-07T00:00:00"/>
    <d v="2022-04-21T00:00:00"/>
    <n v="36"/>
    <n v="10"/>
    <n v="12716.4"/>
    <n v="0"/>
    <m/>
    <m/>
    <m/>
    <m/>
    <n v="0"/>
    <d v="2022-04-15T00:00:00"/>
    <d v="2022-04-29T00:00:00"/>
    <n v="10"/>
    <n v="12716.4"/>
    <s v="0.0%"/>
    <m/>
    <m/>
    <m/>
    <n v="0.40235935644098908"/>
    <n v="0.59764064355901092"/>
    <n v="5116.5625202461933"/>
    <n v="7599.8374797538063"/>
    <x v="37"/>
    <x v="40"/>
  </r>
  <r>
    <s v="   29.2"/>
    <s v="atividade"/>
    <s v="FUNDOS"/>
    <s v="PINTURA EXTERNA"/>
    <s v="FAC-&gt;FUNDOS"/>
    <n v="238.27"/>
    <s v="M²/M²"/>
    <n v="0"/>
    <d v="2022-03-17T00:00:00"/>
    <d v="2022-03-31T00:00:00"/>
    <n v="33"/>
    <n v="10"/>
    <n v="11843.5"/>
    <n v="0"/>
    <m/>
    <m/>
    <m/>
    <m/>
    <n v="0"/>
    <d v="2022-03-25T00:00:00"/>
    <d v="2022-04-08T00:00:00"/>
    <n v="10"/>
    <n v="11843.5"/>
    <s v="0.0%"/>
    <m/>
    <m/>
    <m/>
    <n v="0.40235935644098908"/>
    <n v="0.59764064355901092"/>
    <n v="4765.3430380088539"/>
    <n v="7078.1569619911461"/>
    <x v="32"/>
    <x v="3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">
  <r>
    <n v="-1"/>
    <x v="0"/>
    <n v="1"/>
    <x v="0"/>
    <s v="LOCAÇÃO E GABARITO"/>
    <n v="74.739999999999995"/>
    <s v="HR"/>
    <n v="36.4"/>
    <n v="2721"/>
    <x v="0"/>
  </r>
  <r>
    <s v=" -1.1"/>
    <x v="1"/>
    <s v="01.01.01."/>
    <x v="1"/>
    <s v="Locação e Gabarito - Material"/>
    <n v="74.739999999999995"/>
    <s v="M"/>
    <n v="15.83"/>
    <n v="1183"/>
    <x v="0"/>
  </r>
  <r>
    <s v="    1.1.1"/>
    <x v="2"/>
    <n v="10567"/>
    <x v="1"/>
    <s v="Tabua *2,5 x 23* cm em pinus, mista ou equivalente da regiao - bruta"/>
    <n v="41.11"/>
    <s v="M"/>
    <n v="5.71"/>
    <n v="235"/>
    <x v="1"/>
  </r>
  <r>
    <s v="    1.1.2"/>
    <x v="2"/>
    <n v="4417"/>
    <x v="1"/>
    <s v="Sarrafo nao aparelhado *2,5 x 7* cm, em macaranduba, angelim ou equivalente da regiao -  bruta"/>
    <n v="55.64"/>
    <s v="M"/>
    <n v="4.32"/>
    <n v="240"/>
    <x v="1"/>
  </r>
  <r>
    <s v="    1.1.3"/>
    <x v="2"/>
    <n v="4433"/>
    <x v="1"/>
    <s v="Caibro nao aparelhado  *7,5 x 7,5* cm, em macaranduba, angelim ou equivalente da regiao -  bruta"/>
    <n v="30.83"/>
    <s v="M"/>
    <n v="15.54"/>
    <n v="479"/>
    <x v="1"/>
  </r>
  <r>
    <s v="    1.1.4"/>
    <x v="2"/>
    <n v="5068"/>
    <x v="1"/>
    <s v="Prego de aço polido com cabeça 17 x 21 (2 x 11)"/>
    <n v="8.3000000000000007"/>
    <s v="KG"/>
    <n v="21.7"/>
    <n v="180"/>
    <x v="1"/>
  </r>
  <r>
    <s v="    1.1.5"/>
    <x v="2"/>
    <n v="7356"/>
    <x v="1"/>
    <s v="Tinta acrilica premium, cor branco fosco"/>
    <n v="1.91"/>
    <s v="L"/>
    <n v="25.53"/>
    <n v="49"/>
    <x v="1"/>
  </r>
  <r>
    <s v=" -1.2"/>
    <x v="1"/>
    <s v="01.01.02."/>
    <x v="1"/>
    <s v="Locação e Gabarito - Mão de Obra  (1P + 1A) - 5 dias"/>
    <n v="74.739999999999995"/>
    <s v="HR"/>
    <n v="20.57"/>
    <n v="1537"/>
    <x v="0"/>
  </r>
  <r>
    <s v="    1.2.1"/>
    <x v="2"/>
    <s v="01N"/>
    <x v="1"/>
    <s v="Leis Sociais"/>
    <n v="74.739999999999995"/>
    <s v="VB"/>
    <n v="4.3600000000000003"/>
    <n v="326"/>
    <x v="2"/>
  </r>
  <r>
    <s v="    1.2.2"/>
    <x v="2"/>
    <n v="1213"/>
    <x v="1"/>
    <s v="Carpinteiro de formas"/>
    <n v="40"/>
    <s v="HR"/>
    <n v="16.95"/>
    <n v="678"/>
    <x v="2"/>
  </r>
  <r>
    <s v="    1.2.3"/>
    <x v="2"/>
    <n v="6117"/>
    <x v="1"/>
    <s v="Carpinteiro auxiliar"/>
    <n v="40"/>
    <s v="HR"/>
    <n v="13.34"/>
    <n v="534"/>
    <x v="2"/>
  </r>
  <r>
    <n v="-2"/>
    <x v="0"/>
    <n v="2"/>
    <x v="0"/>
    <s v="ESTACAS"/>
    <n v="1"/>
    <s v="TORRE"/>
    <n v="34356.19"/>
    <n v="34356"/>
    <x v="0"/>
  </r>
  <r>
    <s v=" -2.1"/>
    <x v="1"/>
    <s v="01.02.01.01"/>
    <x v="2"/>
    <s v="Estaca Hélice Contínua - Concreto fck 30 Mpa"/>
    <n v="14.82"/>
    <s v="M³"/>
    <n v="716.67"/>
    <n v="10622"/>
    <x v="0"/>
  </r>
  <r>
    <s v="    2.1.1"/>
    <x v="2"/>
    <n v="43360"/>
    <x v="2"/>
    <s v="Concreto Usinado Bombeavel 30MPa"/>
    <n v="23.71"/>
    <s v="M³"/>
    <n v="447.92"/>
    <n v="10622"/>
    <x v="2"/>
  </r>
  <r>
    <s v=" -2.2"/>
    <x v="1"/>
    <s v="01.02.01.02"/>
    <x v="2"/>
    <s v="Estaca Hélice Contínua - Aço CA-50"/>
    <n v="518.76"/>
    <s v="KG"/>
    <n v="13.94"/>
    <n v="7234"/>
    <x v="0"/>
  </r>
  <r>
    <s v="    2.2.1"/>
    <x v="2"/>
    <s v="02N"/>
    <x v="2"/>
    <s v="Corte e dobra Aço CA 50"/>
    <n v="518.76"/>
    <s v="KG"/>
    <n v="0.5"/>
    <n v="259"/>
    <x v="1"/>
  </r>
  <r>
    <s v="    2.2.2"/>
    <x v="2"/>
    <s v="03N"/>
    <x v="2"/>
    <s v="Montagem Aço CA 50"/>
    <n v="518.76"/>
    <s v="KG"/>
    <n v="1"/>
    <n v="519"/>
    <x v="1"/>
  </r>
  <r>
    <s v="    2.2.3"/>
    <x v="2"/>
    <n v="32"/>
    <x v="2"/>
    <s v="Aço CA-50, 6,3 mm, vergalhao"/>
    <n v="51.36"/>
    <s v="KG"/>
    <n v="12.78"/>
    <n v="656"/>
    <x v="1"/>
  </r>
  <r>
    <s v="    2.2.4"/>
    <x v="2"/>
    <n v="39017"/>
    <x v="2"/>
    <s v="Espaçador em plastico cobrimento 20 mm"/>
    <n v="157.15"/>
    <s v="UN"/>
    <n v="0.13"/>
    <n v="20"/>
    <x v="1"/>
  </r>
  <r>
    <s v="    2.2.5"/>
    <x v="2"/>
    <n v="43055"/>
    <x v="2"/>
    <s v="Aço CA-50, 12,5 mm ou 16,0 mm, vergalhao"/>
    <n v="519.28"/>
    <s v="KG"/>
    <n v="10.49"/>
    <n v="5447"/>
    <x v="1"/>
  </r>
  <r>
    <s v="    2.2.6"/>
    <x v="2"/>
    <n v="43132"/>
    <x v="2"/>
    <s v="Arame Recozido 16 BWG"/>
    <n v="12.84"/>
    <s v="KG"/>
    <n v="25.83"/>
    <n v="332"/>
    <x v="1"/>
  </r>
  <r>
    <s v=" -2.3"/>
    <x v="1"/>
    <s v="01.02.02."/>
    <x v="2"/>
    <s v="Estacas Hélice Contínua - Mão de Obra"/>
    <n v="1"/>
    <s v="TORRE"/>
    <n v="16500"/>
    <n v="16500"/>
    <x v="0"/>
  </r>
  <r>
    <s v="    2.3.1"/>
    <x v="2"/>
    <s v="01.02.02.01."/>
    <x v="2"/>
    <s v="Empresa Especialista Estaca Helice - Mobilização"/>
    <n v="1"/>
    <s v="EVENTO"/>
    <n v="1500"/>
    <n v="1500"/>
    <x v="2"/>
  </r>
  <r>
    <s v="    2.3.2"/>
    <x v="2"/>
    <s v="01.02.02.02."/>
    <x v="2"/>
    <s v="Empresa Especialista Estaca Helice  - Execução das estacas"/>
    <n v="1"/>
    <s v="TORRE"/>
    <n v="15000"/>
    <n v="15000"/>
    <x v="2"/>
  </r>
  <r>
    <n v="-3"/>
    <x v="0"/>
    <n v="3"/>
    <x v="0"/>
    <s v="VIGAS BALDRAMES"/>
    <n v="36.229999999999997"/>
    <s v="M³"/>
    <n v="1933.5"/>
    <n v="70047"/>
    <x v="0"/>
  </r>
  <r>
    <s v=" -3.1"/>
    <x v="1"/>
    <s v="01.03.01.01."/>
    <x v="3"/>
    <s v="Vigas Baldrames - Aço CA-50"/>
    <n v="1449.12"/>
    <s v="KG"/>
    <n v="14.1"/>
    <n v="20426"/>
    <x v="0"/>
  </r>
  <r>
    <s v="    3.1.1"/>
    <x v="2"/>
    <s v="02N"/>
    <x v="3"/>
    <s v="Corte e dobra Aço CA 50"/>
    <n v="1449.12"/>
    <s v="KG"/>
    <n v="0.5"/>
    <n v="725"/>
    <x v="1"/>
  </r>
  <r>
    <s v="    3.1.2"/>
    <x v="2"/>
    <s v="03N"/>
    <x v="3"/>
    <s v="Montagem Aço CA 50"/>
    <n v="1449.12"/>
    <s v="KG"/>
    <n v="1"/>
    <n v="1449"/>
    <x v="1"/>
  </r>
  <r>
    <s v="    3.1.3"/>
    <x v="2"/>
    <n v="32"/>
    <x v="3"/>
    <s v="Aço CA-50, 6,3 mm, vergalhao"/>
    <n v="239.1"/>
    <s v="KG"/>
    <n v="12.78"/>
    <n v="3056"/>
    <x v="1"/>
  </r>
  <r>
    <s v="    3.1.4"/>
    <x v="2"/>
    <n v="39017"/>
    <x v="3"/>
    <s v="Espaçador em plastico cobrimento 20 mm"/>
    <n v="439"/>
    <s v="UN"/>
    <n v="0.13"/>
    <n v="57"/>
    <x v="1"/>
  </r>
  <r>
    <s v="    3.1.5"/>
    <x v="2"/>
    <n v="43055"/>
    <x v="3"/>
    <s v="Aço CA-50, 12,5 mm ou 16,0 mm, vergalhao"/>
    <n v="1354.93"/>
    <s v="KG"/>
    <n v="10.49"/>
    <n v="14213"/>
    <x v="1"/>
  </r>
  <r>
    <s v="    3.1.6"/>
    <x v="2"/>
    <n v="43132"/>
    <x v="3"/>
    <s v="Arame Recozido 16 BWG"/>
    <n v="35.869999999999997"/>
    <s v="KG"/>
    <n v="25.83"/>
    <n v="926"/>
    <x v="1"/>
  </r>
  <r>
    <s v=" -3.2"/>
    <x v="1"/>
    <s v="01.03.01.02."/>
    <x v="3"/>
    <s v="Vigas Baldrames - Concreto fck 30Mpa"/>
    <n v="18.11"/>
    <s v="M³"/>
    <n v="492.71"/>
    <n v="8925"/>
    <x v="0"/>
  </r>
  <r>
    <s v="    3.2.1"/>
    <x v="2"/>
    <n v="43360"/>
    <x v="3"/>
    <s v="Concreto Usinado Bombeavel 30MPa"/>
    <n v="19.93"/>
    <s v="M³"/>
    <n v="447.92"/>
    <n v="8925"/>
    <x v="2"/>
  </r>
  <r>
    <s v=" -3.3"/>
    <x v="1"/>
    <s v="01.03.01.03."/>
    <x v="3"/>
    <s v="Vigas Baldrames - Formas Compensado"/>
    <n v="185.2"/>
    <s v="M²"/>
    <n v="43.03"/>
    <n v="7969"/>
    <x v="0"/>
  </r>
  <r>
    <s v="    3.3.1"/>
    <x v="2"/>
    <n v="1358"/>
    <x v="3"/>
    <s v="Chapa de madeira compensada resinada para forma de concreto, de *2,2 x 1,1* m, e = 17 mm"/>
    <n v="109.82"/>
    <s v="M²"/>
    <n v="46.86"/>
    <n v="5146"/>
    <x v="1"/>
  </r>
  <r>
    <s v="    3.3.2"/>
    <x v="2"/>
    <n v="20247"/>
    <x v="3"/>
    <s v="Prego de aço polido com cabeça 15 x 15 (1 1/4 x 13)"/>
    <n v="1.3"/>
    <s v="KG"/>
    <n v="24.02"/>
    <n v="31"/>
    <x v="1"/>
  </r>
  <r>
    <s v="    3.3.3"/>
    <x v="2"/>
    <n v="2692"/>
    <x v="3"/>
    <s v="Desmoldante protetor para formas de madeira, de base oleosa emulsionada em agua"/>
    <n v="1.85"/>
    <s v="L"/>
    <n v="5.29"/>
    <n v="10"/>
    <x v="1"/>
  </r>
  <r>
    <s v="    3.3.4"/>
    <x v="2"/>
    <n v="40304"/>
    <x v="3"/>
    <s v="Prego de aço polido com cabeça dupla 17 x 27 (2 1/2 x 11)"/>
    <n v="1.85"/>
    <s v="KG"/>
    <n v="26.78"/>
    <n v="50"/>
    <x v="1"/>
  </r>
  <r>
    <s v="    3.3.5"/>
    <x v="2"/>
    <n v="4491"/>
    <x v="3"/>
    <s v="Pontalete *7,5 x 7,5* cm em pinus, mista ou equivalente da regiao - bruta"/>
    <n v="424.85"/>
    <s v="M"/>
    <n v="5.05"/>
    <n v="2145"/>
    <x v="1"/>
  </r>
  <r>
    <s v="    3.3.6"/>
    <x v="2"/>
    <n v="4517"/>
    <x v="3"/>
    <s v="Sarrafo *2,5 x 7,5* cm em pinus, mista ou equivalente da regiao - bruta"/>
    <n v="251.69"/>
    <s v="M"/>
    <n v="1.76"/>
    <n v="443"/>
    <x v="1"/>
  </r>
  <r>
    <s v="    3.3.7"/>
    <x v="2"/>
    <n v="5073"/>
    <x v="3"/>
    <s v="Prego de aço polido com cabeça 17 x 24 (2 1/4 x 11)"/>
    <n v="6.48"/>
    <s v="KG"/>
    <n v="22.11"/>
    <n v="143"/>
    <x v="1"/>
  </r>
  <r>
    <s v=" -3.4"/>
    <x v="1"/>
    <s v="01.03.02.01."/>
    <x v="3"/>
    <s v="Vigas Baldrames - Empreiteiro "/>
    <n v="18.11"/>
    <s v="M³"/>
    <n v="400"/>
    <n v="7246"/>
    <x v="0"/>
  </r>
  <r>
    <s v="    3.4.1"/>
    <x v="2"/>
    <s v="04N"/>
    <x v="3"/>
    <s v="Empreiteiro de Estrutura de Concreto "/>
    <n v="18.11"/>
    <s v="M³"/>
    <n v="400"/>
    <n v="7246"/>
    <x v="2"/>
  </r>
  <r>
    <s v=" -3.5"/>
    <x v="1"/>
    <s v="04.01.01."/>
    <x v="3"/>
    <s v="Impermeabilização das vigas de fundação - Material"/>
    <n v="185.2"/>
    <s v="M²"/>
    <n v="127.59"/>
    <n v="23629"/>
    <x v="0"/>
  </r>
  <r>
    <s v="    3.5.1"/>
    <x v="2"/>
    <n v="4014"/>
    <x v="3"/>
    <s v="Manta asfaltica elastomerica em poliester 3 mm"/>
    <n v="208.35"/>
    <s v="M²"/>
    <n v="46.87"/>
    <n v="9765"/>
    <x v="1"/>
  </r>
  <r>
    <s v="    3.5.2"/>
    <x v="2"/>
    <n v="4015"/>
    <x v="3"/>
    <s v="Manta asfaltica elastomerica em poliester 4 mm"/>
    <n v="208.35"/>
    <s v="M²"/>
    <n v="57.56"/>
    <n v="11993"/>
    <x v="1"/>
  </r>
  <r>
    <s v="    3.5.3"/>
    <x v="2"/>
    <n v="511"/>
    <x v="3"/>
    <s v="Primer para manta asfaltica a base de asfalto modificado diluido em solvente, aplicação a frio"/>
    <n v="113.9"/>
    <s v="L"/>
    <n v="16.43"/>
    <n v="1871"/>
    <x v="1"/>
  </r>
  <r>
    <s v=" -3.6"/>
    <x v="1"/>
    <s v="04.01.02."/>
    <x v="3"/>
    <s v="Impermeabilização das vigas de fundação - Mão de Obra"/>
    <n v="185.2"/>
    <s v="M²"/>
    <n v="10"/>
    <n v="1852"/>
    <x v="0"/>
  </r>
  <r>
    <s v="    3.6.1"/>
    <x v="2"/>
    <s v="08N"/>
    <x v="3"/>
    <s v="Empreiteiro Impermeabilização das Vigas"/>
    <n v="185.2"/>
    <s v="M²"/>
    <n v="10"/>
    <n v="1852"/>
    <x v="2"/>
  </r>
  <r>
    <n v="-4"/>
    <x v="0"/>
    <n v="4"/>
    <x v="0"/>
    <s v="INSTALAçõES ENTERRADAS"/>
    <n v="2"/>
    <s v="TORRE"/>
    <n v="175"/>
    <n v="350"/>
    <x v="0"/>
  </r>
  <r>
    <s v=" -4.1"/>
    <x v="1"/>
    <s v="09.01.01.01."/>
    <x v="4"/>
    <s v="Instalações Hidrossanitárias - Enterradas - Mão de Obra"/>
    <n v="1"/>
    <s v="TORRE"/>
    <n v="100"/>
    <n v="100"/>
    <x v="0"/>
  </r>
  <r>
    <s v="    4.1.1"/>
    <x v="2"/>
    <s v="26N"/>
    <x v="4"/>
    <s v="Empreiteiro - Instalações Hidrossanitárias - Enterradas "/>
    <n v="1"/>
    <s v="TORRE"/>
    <n v="100"/>
    <n v="100"/>
    <x v="2"/>
  </r>
  <r>
    <s v=" -4.2"/>
    <x v="1"/>
    <s v="09.02.01.01."/>
    <x v="4"/>
    <s v="Instalações Elétricas - Enterradas - Mão de Obra"/>
    <n v="1"/>
    <s v="TORRE"/>
    <n v="250"/>
    <n v="250"/>
    <x v="0"/>
  </r>
  <r>
    <s v="    4.2.1"/>
    <x v="2"/>
    <s v="32N"/>
    <x v="4"/>
    <s v="Empriteiro - Instalações Elétricas - Enterradas"/>
    <n v="1"/>
    <s v="TORRE"/>
    <n v="250"/>
    <n v="250"/>
    <x v="2"/>
  </r>
  <r>
    <n v="-5"/>
    <x v="0"/>
    <n v="5"/>
    <x v="5"/>
    <s v="CONTRAPISO"/>
    <n v="456.3"/>
    <s v="M²"/>
    <n v="76.510000000000005"/>
    <n v="34912"/>
    <x v="0"/>
  </r>
  <r>
    <s v=" -5.1"/>
    <x v="1"/>
    <s v="01.04.01.01."/>
    <x v="5"/>
    <s v="Contrapiso - Brita e Lona "/>
    <n v="224.41"/>
    <s v="M²"/>
    <n v="5.64"/>
    <n v="1265"/>
    <x v="0"/>
  </r>
  <r>
    <s v="    5.1.1"/>
    <x v="2"/>
    <n v="42408"/>
    <x v="5"/>
    <s v="Lona Plastica Preta"/>
    <n v="269.29000000000002"/>
    <s v="M²"/>
    <n v="2.15"/>
    <n v="579"/>
    <x v="1"/>
  </r>
  <r>
    <s v="    5.1.2"/>
    <x v="2"/>
    <n v="4718"/>
    <x v="5"/>
    <s v="Brita 2"/>
    <n v="12.34"/>
    <s v="M³"/>
    <n v="55.6"/>
    <n v="686"/>
    <x v="1"/>
  </r>
  <r>
    <s v=" -5.2"/>
    <x v="1"/>
    <s v="01.04.01.02."/>
    <x v="5"/>
    <s v="Contrapiso - Tela Q159"/>
    <n v="565.52"/>
    <s v="KG"/>
    <n v="25.49"/>
    <n v="14414"/>
    <x v="0"/>
  </r>
  <r>
    <s v="    5.2.1"/>
    <x v="2"/>
    <n v="42406"/>
    <x v="5"/>
    <s v="Tela de aço soldada nervurada, ca-60, q-159, (2,52 kg/m2), diametro do fio = 4,5 mm, largura =  2,45 m, espacamento da malha = 10 x 10 cm"/>
    <n v="273.70999999999998"/>
    <s v="M²"/>
    <n v="42.19"/>
    <n v="11548"/>
    <x v="1"/>
  </r>
  <r>
    <s v="    5.2.2"/>
    <x v="2"/>
    <n v="42407"/>
    <x v="5"/>
    <s v="Trelica nervurada (Espaçador), altura = 120,0 mm, diametro dos banzos inferiores e superior = 6,0 mm, diametro da diagonal = 4,2 mm"/>
    <n v="224.51"/>
    <s v="M"/>
    <n v="12.05"/>
    <n v="2705"/>
    <x v="1"/>
  </r>
  <r>
    <s v="    5.2.3"/>
    <x v="2"/>
    <n v="43132"/>
    <x v="5"/>
    <s v="Arame Recozido 16 BWG"/>
    <n v="6.22"/>
    <s v="KG"/>
    <n v="25.83"/>
    <n v="161"/>
    <x v="1"/>
  </r>
  <r>
    <s v=" -5.3"/>
    <x v="1"/>
    <s v="01.04.01.03."/>
    <x v="5"/>
    <s v="Contrapiso - Concreto fck 30Mpa"/>
    <n v="22.44"/>
    <s v="M³"/>
    <n v="492.71"/>
    <n v="11057"/>
    <x v="0"/>
  </r>
  <r>
    <s v="    5.3.1"/>
    <x v="2"/>
    <n v="43360"/>
    <x v="5"/>
    <s v="Concreto Usinado Bombeavel 30MPa"/>
    <n v="24.69"/>
    <s v="M³"/>
    <n v="447.92"/>
    <n v="11057"/>
    <x v="2"/>
  </r>
  <r>
    <s v=" -5.4"/>
    <x v="1"/>
    <s v="01.04.01.04."/>
    <x v="5"/>
    <s v="Contrapiso  - Formas Compensado"/>
    <n v="7.47"/>
    <s v="M²"/>
    <n v="43.03"/>
    <n v="322"/>
    <x v="0"/>
  </r>
  <r>
    <s v="    5.4.1"/>
    <x v="2"/>
    <n v="1358"/>
    <x v="5"/>
    <s v="Chapa de madeira compensada resinada para forma de concreto, de *2,2 x 1,1* m, e = 17 mm"/>
    <n v="4.43"/>
    <s v="M²"/>
    <n v="46.86"/>
    <n v="208"/>
    <x v="1"/>
  </r>
  <r>
    <s v="    5.4.2"/>
    <x v="2"/>
    <n v="20247"/>
    <x v="5"/>
    <s v="Prego de aço polido com cabeça 15 x 15 (1 1/4 x 13)"/>
    <n v="0.05"/>
    <s v="KG"/>
    <n v="24.02"/>
    <n v="1"/>
    <x v="1"/>
  </r>
  <r>
    <s v="    5.4.3"/>
    <x v="2"/>
    <n v="2692"/>
    <x v="5"/>
    <s v="Desmoldante protetor para formas de madeira, de base oleosa emulsionada em agua"/>
    <n v="7.0000000000000007E-2"/>
    <s v="L"/>
    <n v="5.29"/>
    <n v="0.37030000000000002"/>
    <x v="1"/>
  </r>
  <r>
    <s v="    5.4.4"/>
    <x v="2"/>
    <n v="40304"/>
    <x v="5"/>
    <s v="Prego de aço polido com cabeça dupla 17 x 27 (2 1/2 x 11)"/>
    <n v="7.0000000000000007E-2"/>
    <s v="KG"/>
    <n v="26.78"/>
    <n v="2"/>
    <x v="1"/>
  </r>
  <r>
    <s v="    5.4.5"/>
    <x v="2"/>
    <n v="4491"/>
    <x v="5"/>
    <s v="Pontalete *7,5 x 7,5* cm em pinus, mista ou equivalente da regiao - bruta"/>
    <n v="17.149999999999999"/>
    <s v="M"/>
    <n v="5.05"/>
    <n v="87"/>
    <x v="1"/>
  </r>
  <r>
    <s v="    5.4.6"/>
    <x v="2"/>
    <n v="4517"/>
    <x v="5"/>
    <s v="Sarrafo *2,5 x 7,5* cm em pinus, mista ou equivalente da regiao - bruta"/>
    <n v="10.16"/>
    <s v="M"/>
    <n v="1.76"/>
    <n v="18"/>
    <x v="1"/>
  </r>
  <r>
    <s v="    5.4.7"/>
    <x v="2"/>
    <n v="5073"/>
    <x v="5"/>
    <s v="Prego de aço polido com cabeça 17 x 24 (2 1/4 x 11)"/>
    <n v="0.26"/>
    <s v="KG"/>
    <n v="22.11"/>
    <n v="6"/>
    <x v="1"/>
  </r>
  <r>
    <s v=" -5.5"/>
    <x v="1"/>
    <s v="01.04.02.01."/>
    <x v="5"/>
    <s v="Contrapiso- Empreiteiro "/>
    <n v="224.41"/>
    <s v="M²"/>
    <n v="35"/>
    <n v="7854"/>
    <x v="0"/>
  </r>
  <r>
    <s v="    5.5.1"/>
    <x v="2"/>
    <s v="05N"/>
    <x v="5"/>
    <s v="Empreiteiro de Execução de Contrapiso"/>
    <n v="224.41"/>
    <s v="M²"/>
    <n v="35"/>
    <n v="7854"/>
    <x v="2"/>
  </r>
  <r>
    <n v="-6"/>
    <x v="0"/>
    <n v="6"/>
    <x v="0"/>
    <s v="ALVENARIA ESTRUTURAL"/>
    <n v="1684.46"/>
    <s v="M³"/>
    <n v="241.85"/>
    <n v="407382"/>
    <x v="0"/>
  </r>
  <r>
    <s v=" -6.1"/>
    <x v="1"/>
    <s v="02.03.01.01."/>
    <x v="0"/>
    <s v="Alvenaria Estrutural - Blocos Cerâmico familia 14 fbk 6MPa"/>
    <n v="27444.29"/>
    <s v="UN"/>
    <n v="9.75"/>
    <n v="267446"/>
    <x v="0"/>
  </r>
  <r>
    <s v="    6.1.1"/>
    <x v="2"/>
    <n v="34547"/>
    <x v="6"/>
    <s v="Tela de aço soldada galvanizada/zincada para alvenaria, fio  d = *1,20 a 1,70* mm, malha 15 x 15 mm, (c x l) *50 x 12* cm"/>
    <n v="26264.19"/>
    <s v="M"/>
    <n v="7.39"/>
    <n v="194092"/>
    <x v="1"/>
  </r>
  <r>
    <s v="    6.1.2"/>
    <x v="2"/>
    <n v="34588"/>
    <x v="6"/>
    <s v="Bloco estrutural ceramico 14 x 19 x 39 cm  6,0 MPA"/>
    <n v="14852.85"/>
    <s v="UN"/>
    <n v="2.7"/>
    <n v="40103"/>
    <x v="1"/>
  </r>
  <r>
    <s v="    6.1.3"/>
    <x v="2"/>
    <n v="34655"/>
    <x v="6"/>
    <s v="Canaleta estrutural ceramica, 14 x 19 x 39 cm 6,0 MPA"/>
    <n v="3954.72"/>
    <s v="UN"/>
    <n v="3.22"/>
    <n v="12734"/>
    <x v="1"/>
  </r>
  <r>
    <s v="    6.1.4"/>
    <x v="2"/>
    <n v="34781"/>
    <x v="6"/>
    <s v="Meio bloco estrutural ceramico 14 x 19 x 19 cm 6,0 MPA"/>
    <n v="7909.44"/>
    <s v="UN"/>
    <n v="1.54"/>
    <n v="12181"/>
    <x v="1"/>
  </r>
  <r>
    <s v="    6.1.5"/>
    <x v="2"/>
    <n v="38548"/>
    <x v="6"/>
    <s v="Canaleta estrutural ceramica, 14 x 19 x 19 cm 6,0 MPA"/>
    <n v="483.02"/>
    <s v="UN"/>
    <n v="1.79"/>
    <n v="865"/>
    <x v="1"/>
  </r>
  <r>
    <s v="    6.1.6"/>
    <x v="2"/>
    <n v="38603"/>
    <x v="6"/>
    <s v="Bloco estrutural ceramico 14 x 19 x 34 cm 6,0 MPA"/>
    <n v="2988.68"/>
    <s v="UN"/>
    <n v="2.5"/>
    <n v="7472"/>
    <x v="1"/>
  </r>
  <r>
    <s v=" -6.2"/>
    <x v="1"/>
    <s v="02.03.01.02."/>
    <x v="6"/>
    <s v="Alvenaria Estrutural - Argamassa de Assentamento "/>
    <n v="41084.269999999997"/>
    <s v="KG"/>
    <n v="0.61"/>
    <n v="24856"/>
    <x v="0"/>
  </r>
  <r>
    <s v="    6.2.1"/>
    <x v="2"/>
    <n v="371"/>
    <x v="6"/>
    <s v="Argamassa Industrialziada "/>
    <n v="45192.7"/>
    <s v="KG"/>
    <n v="0.55000000000000004"/>
    <n v="24856"/>
    <x v="1"/>
  </r>
  <r>
    <s v=" -6.3"/>
    <x v="1"/>
    <s v="02.03.01.03."/>
    <x v="6"/>
    <s v="Alvenaria Estrutural - Aço CA-50"/>
    <n v="2793.73"/>
    <s v="KG"/>
    <n v="12.04"/>
    <n v="33634"/>
    <x v="0"/>
  </r>
  <r>
    <s v="    6.3.1"/>
    <x v="2"/>
    <s v="02N"/>
    <x v="6"/>
    <s v="Corte e dobra Aço CA 50"/>
    <n v="2793.73"/>
    <s v="KG"/>
    <n v="0.5"/>
    <n v="1397"/>
    <x v="1"/>
  </r>
  <r>
    <s v="    6.3.2"/>
    <x v="2"/>
    <n v="43055"/>
    <x v="6"/>
    <s v="Aço CA-50, 12,5 mm ou 16,0 mm, vergalhao"/>
    <n v="3073.1"/>
    <s v="KG"/>
    <n v="10.49"/>
    <n v="32237"/>
    <x v="1"/>
  </r>
  <r>
    <s v=" -6.4"/>
    <x v="1"/>
    <s v="02.03.01.04."/>
    <x v="6"/>
    <s v="Alvenaria Estrutural - Grout Usinado"/>
    <n v="41.08"/>
    <s v="M³"/>
    <n v="550"/>
    <n v="22596"/>
    <x v="0"/>
  </r>
  <r>
    <s v="    6.4.1"/>
    <x v="2"/>
    <s v="06N"/>
    <x v="6"/>
    <s v="Grout Usinado"/>
    <n v="45.19"/>
    <s v="M³"/>
    <n v="500"/>
    <n v="22596"/>
    <x v="1"/>
  </r>
  <r>
    <s v=" -6.5"/>
    <x v="1"/>
    <s v="02.03.02.01.(1)"/>
    <x v="6"/>
    <s v="Alvenaria Estrutural - Empreiteiro "/>
    <n v="1643.37"/>
    <s v="M³"/>
    <n v="29"/>
    <n v="47658"/>
    <x v="0"/>
  </r>
  <r>
    <s v="    6.5.1"/>
    <x v="2"/>
    <s v="07N"/>
    <x v="6"/>
    <s v="Empreiteiro de Alvenaria Estrutural"/>
    <n v="1643.37"/>
    <s v="M³"/>
    <n v="29"/>
    <n v="47658"/>
    <x v="2"/>
  </r>
  <r>
    <s v=" -6.6"/>
    <x v="1"/>
    <s v="09.02.02.01."/>
    <x v="6"/>
    <s v="Instalações Elétricas - Eletrodutos - Material "/>
    <n v="1328.76"/>
    <s v="M"/>
    <n v="1.8"/>
    <n v="2392"/>
    <x v="0"/>
  </r>
  <r>
    <s v="    6.6.1"/>
    <x v="2"/>
    <n v="2687"/>
    <x v="6"/>
    <s v="Eletroduto PVC flexivel corrugado, cor amarela, de 16 mm"/>
    <n v="1328.76"/>
    <s v="M"/>
    <n v="1.8"/>
    <n v="2392"/>
    <x v="1"/>
  </r>
  <r>
    <s v=" -6.7"/>
    <x v="1"/>
    <s v="09.02.02.02."/>
    <x v="6"/>
    <s v="Instalações Elétricas - Eletrodutos - Mão de Obra"/>
    <n v="16"/>
    <s v="APTO"/>
    <n v="550"/>
    <n v="8800"/>
    <x v="0"/>
  </r>
  <r>
    <s v="    6.7.1"/>
    <x v="2"/>
    <s v="33N"/>
    <x v="6"/>
    <s v="Empreiteiro instalações de eletrodutos  alvenaria/laje"/>
    <n v="17.600000000000001"/>
    <s v="APTO"/>
    <n v="500"/>
    <n v="8800"/>
    <x v="2"/>
  </r>
  <r>
    <n v="-7"/>
    <x v="0"/>
    <n v="7"/>
    <x v="0"/>
    <s v="ESTRUTURA MOLDADO IN LOCO"/>
    <n v="219.93"/>
    <s v="M³"/>
    <n v="1195.24"/>
    <n v="262864"/>
    <x v="0"/>
  </r>
  <r>
    <s v=" -7.1"/>
    <x v="1"/>
    <s v="02.01.01.01."/>
    <x v="7"/>
    <s v="Laje Moldada In loco - Aço CA-50"/>
    <n v="8244.1200000000008"/>
    <s v="KG"/>
    <n v="14.1"/>
    <n v="116205"/>
    <x v="0"/>
  </r>
  <r>
    <s v="    7.1.1"/>
    <x v="2"/>
    <s v="02N"/>
    <x v="7"/>
    <s v="Corte e dobra Aço CA 50"/>
    <n v="8244.1200000000008"/>
    <s v="-"/>
    <n v="0.5"/>
    <n v="4122"/>
    <x v="1"/>
  </r>
  <r>
    <s v="    7.1.2"/>
    <x v="2"/>
    <s v="03N"/>
    <x v="7"/>
    <s v="Montagem Aço CA 50"/>
    <n v="8244.1200000000008"/>
    <s v="-"/>
    <n v="1"/>
    <n v="8244"/>
    <x v="1"/>
  </r>
  <r>
    <s v="    7.1.3"/>
    <x v="2"/>
    <n v="32"/>
    <x v="7"/>
    <s v="Aço CA-50, 6,3 mm, vergalhao"/>
    <n v="1360.28"/>
    <s v="-"/>
    <n v="12.78"/>
    <n v="17384"/>
    <x v="1"/>
  </r>
  <r>
    <s v="    7.1.4"/>
    <x v="2"/>
    <n v="39017"/>
    <x v="7"/>
    <s v="Espaçador em plastico cobrimento 20 mm"/>
    <n v="2497.48"/>
    <s v="-"/>
    <n v="0.13"/>
    <n v="325"/>
    <x v="1"/>
  </r>
  <r>
    <s v="    7.1.5"/>
    <x v="2"/>
    <n v="43055"/>
    <x v="7"/>
    <s v="Aço CA-50, 12,5 mm ou 16,0 mm, vergalhao"/>
    <n v="7708.26"/>
    <s v="-"/>
    <n v="10.49"/>
    <n v="80860"/>
    <x v="1"/>
  </r>
  <r>
    <s v="    7.1.6"/>
    <x v="2"/>
    <n v="43132"/>
    <x v="7"/>
    <s v="Arame Recozido 16 BWG"/>
    <n v="204.04"/>
    <s v="-"/>
    <n v="25.83"/>
    <n v="5270"/>
    <x v="1"/>
  </r>
  <r>
    <s v=" -7.2"/>
    <x v="1"/>
    <s v="02.01.01.02."/>
    <x v="7"/>
    <s v="Laje Moldada In loco - Concreto fck 30Mpa"/>
    <n v="103.05"/>
    <s v="M³"/>
    <n v="492.71"/>
    <n v="50775"/>
    <x v="0"/>
  </r>
  <r>
    <s v="    7.2.1"/>
    <x v="2"/>
    <n v="43360"/>
    <x v="7"/>
    <s v="Concreto Usinado Bombeavel 30MPa"/>
    <n v="113.36"/>
    <s v="M³"/>
    <n v="447.92"/>
    <n v="50775"/>
    <x v="2"/>
  </r>
  <r>
    <s v=" -7.3"/>
    <x v="1"/>
    <s v="02.01.01.03."/>
    <x v="7"/>
    <s v="Laje Moldada In loco - Formas Compensado (2x)"/>
    <n v="895.65"/>
    <s v="M²"/>
    <n v="41.01"/>
    <n v="36733"/>
    <x v="0"/>
  </r>
  <r>
    <s v="    7.3.1"/>
    <x v="2"/>
    <n v="1358"/>
    <x v="7"/>
    <s v="Chapa de madeira compensada resinada para forma de concreto, de *2,2 x 1,1* m, e = 17 mm"/>
    <n v="492.61"/>
    <s v="M²"/>
    <n v="46.86"/>
    <n v="23084"/>
    <x v="1"/>
  </r>
  <r>
    <s v="    7.3.2"/>
    <x v="2"/>
    <n v="20247"/>
    <x v="7"/>
    <s v="Prego de aço polido com cabeça 15 x 15 (1 1/4 x 13)"/>
    <n v="6.27"/>
    <s v="KG"/>
    <n v="24.02"/>
    <n v="151"/>
    <x v="1"/>
  </r>
  <r>
    <s v="    7.3.3"/>
    <x v="2"/>
    <n v="2692"/>
    <x v="7"/>
    <s v="Desmoldante protetor para formas de madeira, de base oleosa emulsionada em agua"/>
    <n v="8.9600000000000009"/>
    <s v="L"/>
    <n v="5.29"/>
    <n v="47"/>
    <x v="1"/>
  </r>
  <r>
    <s v="    7.3.4"/>
    <x v="2"/>
    <n v="40304"/>
    <x v="7"/>
    <s v="Prego de aço polido com cabeça dupla 17 x 27 (2 1/2 x 11)"/>
    <n v="8.9600000000000009"/>
    <s v="KG"/>
    <n v="26.78"/>
    <n v="240"/>
    <x v="1"/>
  </r>
  <r>
    <s v="    7.3.5"/>
    <x v="2"/>
    <n v="4491"/>
    <x v="7"/>
    <s v="Pontalete *7,5 x 7,5* cm em pinus, mista ou equivalente da regiao - bruta"/>
    <n v="2054.62"/>
    <s v="M"/>
    <n v="5.05"/>
    <n v="10376"/>
    <x v="1"/>
  </r>
  <r>
    <s v="    7.3.6"/>
    <x v="2"/>
    <n v="4517"/>
    <x v="7"/>
    <s v="Sarrafo *2,5 x 7,5* cm em pinus, mista ou equivalente da regiao - bruta"/>
    <n v="1217.19"/>
    <s v="M"/>
    <n v="1.76"/>
    <n v="2142"/>
    <x v="1"/>
  </r>
  <r>
    <s v="    7.3.7"/>
    <x v="2"/>
    <n v="5073"/>
    <x v="7"/>
    <s v="Prego de aço polido com cabeça 17 x 24 (2 1/4 x 11)"/>
    <n v="31.35"/>
    <s v="KG"/>
    <n v="22.11"/>
    <n v="693"/>
    <x v="1"/>
  </r>
  <r>
    <s v=" -7.4"/>
    <x v="1"/>
    <s v="02.01.02.01"/>
    <x v="7"/>
    <s v="Laje Moldada in Loco - Empreiteiro "/>
    <n v="103.05"/>
    <s v="M³"/>
    <n v="400"/>
    <n v="41221"/>
    <x v="0"/>
  </r>
  <r>
    <s v="    7.4.1"/>
    <x v="2"/>
    <s v="04N"/>
    <x v="7"/>
    <s v="Empreiteiro de Estrutura de Concreto "/>
    <n v="103.05"/>
    <s v="M³"/>
    <n v="400"/>
    <n v="41221"/>
    <x v="2"/>
  </r>
  <r>
    <s v=" -7.5"/>
    <x v="1"/>
    <s v="02.02.01.01."/>
    <x v="7"/>
    <s v="Escada Moldada in Loco - Aço CA-50"/>
    <n v="414.67"/>
    <s v="KG"/>
    <n v="14.1"/>
    <n v="5845"/>
    <x v="0"/>
  </r>
  <r>
    <s v="    7.5.1"/>
    <x v="2"/>
    <s v="02N"/>
    <x v="7"/>
    <s v="Corte e dobra Aço CA 50"/>
    <n v="414.67"/>
    <s v="-"/>
    <n v="0.5"/>
    <n v="207"/>
    <x v="1"/>
  </r>
  <r>
    <s v="    7.5.2"/>
    <x v="2"/>
    <s v="03N"/>
    <x v="7"/>
    <s v="Montagem Aço CA 50"/>
    <n v="414.67"/>
    <s v="-"/>
    <n v="1"/>
    <n v="415"/>
    <x v="1"/>
  </r>
  <r>
    <s v="    7.5.3"/>
    <x v="2"/>
    <n v="32"/>
    <x v="7"/>
    <s v="Aço CA-50, 6,3 mm, vergalhao"/>
    <n v="68.42"/>
    <s v="-"/>
    <n v="12.78"/>
    <n v="874"/>
    <x v="1"/>
  </r>
  <r>
    <s v="    7.5.4"/>
    <x v="2"/>
    <n v="39017"/>
    <x v="7"/>
    <s v="Espaçador em plastico cobrimento 20 mm"/>
    <n v="125.62"/>
    <s v="-"/>
    <n v="0.13"/>
    <n v="16"/>
    <x v="1"/>
  </r>
  <r>
    <s v="    7.5.5"/>
    <x v="2"/>
    <n v="43055"/>
    <x v="7"/>
    <s v="Aço CA-50, 12,5 mm ou 16,0 mm, vergalhao"/>
    <n v="387.71"/>
    <s v="-"/>
    <n v="10.49"/>
    <n v="4067"/>
    <x v="1"/>
  </r>
  <r>
    <s v="    7.5.6"/>
    <x v="2"/>
    <n v="43132"/>
    <x v="7"/>
    <s v="Arame Recozido 16 BWG"/>
    <n v="10.26"/>
    <s v="-"/>
    <n v="25.83"/>
    <n v="265"/>
    <x v="1"/>
  </r>
  <r>
    <s v=" -7.6"/>
    <x v="1"/>
    <s v="02.02.01.02."/>
    <x v="7"/>
    <s v="Escada Moldada in Loco - Concreto fck 30Mpa"/>
    <n v="6.91"/>
    <s v="M³"/>
    <n v="492.71"/>
    <n v="3405"/>
    <x v="0"/>
  </r>
  <r>
    <s v="    7.6.1"/>
    <x v="2"/>
    <n v="43360"/>
    <x v="7"/>
    <s v="Concreto Usinado Bombeavel 30MPa"/>
    <n v="7.6"/>
    <s v="M³"/>
    <n v="447.92"/>
    <n v="3405"/>
    <x v="2"/>
  </r>
  <r>
    <s v=" -7.7"/>
    <x v="1"/>
    <s v="02.02.01.03."/>
    <x v="7"/>
    <s v="Escada Moldada in Loco  - Formas Compensado (2x)"/>
    <n v="48.42"/>
    <s v="M²"/>
    <n v="65.09"/>
    <n v="3152"/>
    <x v="0"/>
  </r>
  <r>
    <s v="    7.7.1"/>
    <x v="2"/>
    <n v="1358"/>
    <x v="7"/>
    <s v="Chapa de madeira compensada resinada para forma de concreto, de *2,2 x 1,1* m, e = 17 mm"/>
    <n v="26.63"/>
    <s v="M²"/>
    <n v="46.86"/>
    <n v="1248"/>
    <x v="1"/>
  </r>
  <r>
    <s v="    7.7.2"/>
    <x v="2"/>
    <n v="20247"/>
    <x v="7"/>
    <s v="Prego de aço polido com cabeça 15 x 15 (1 1/4 x 13)"/>
    <n v="1.5"/>
    <s v="KG"/>
    <n v="24.02"/>
    <n v="36"/>
    <x v="1"/>
  </r>
  <r>
    <s v="    7.7.3"/>
    <x v="2"/>
    <n v="2692"/>
    <x v="7"/>
    <s v="Desmoldante protetor para formas de madeira, de base oleosa emulsionada em agua"/>
    <n v="0.48"/>
    <s v="L"/>
    <n v="5.29"/>
    <n v="3"/>
    <x v="1"/>
  </r>
  <r>
    <s v="    7.7.4"/>
    <x v="2"/>
    <n v="4491"/>
    <x v="7"/>
    <s v="Pontalete *7,5 x 7,5* cm em pinus, mista ou equivalente da regiao - bruta"/>
    <n v="324.61"/>
    <s v="M"/>
    <n v="5.05"/>
    <n v="1639"/>
    <x v="1"/>
  </r>
  <r>
    <s v="    7.7.5"/>
    <x v="2"/>
    <n v="4517"/>
    <x v="7"/>
    <s v="Sarrafo *2,5 x 7,5* cm em pinus, mista ou equivalente da regiao - bruta"/>
    <n v="85.22"/>
    <s v="M"/>
    <n v="1.76"/>
    <n v="150"/>
    <x v="1"/>
  </r>
  <r>
    <s v="    7.7.6"/>
    <x v="2"/>
    <n v="5073"/>
    <x v="7"/>
    <s v="Prego de aço polido com cabeça 17 x 24 (2 1/4 x 11)"/>
    <n v="3.44"/>
    <s v="KG"/>
    <n v="22.11"/>
    <n v="76"/>
    <x v="1"/>
  </r>
  <r>
    <s v=" -7.8"/>
    <x v="1"/>
    <s v="02.03.02.01."/>
    <x v="7"/>
    <s v="Escada Moldada in Loco - Empreiteiro "/>
    <n v="6.91"/>
    <s v="M³"/>
    <n v="800"/>
    <n v="5529"/>
    <x v="0"/>
  </r>
  <r>
    <s v="    7.8.1"/>
    <x v="2"/>
    <s v="05NA"/>
    <x v="7"/>
    <s v="Empreiteiro de Execução de Escada"/>
    <n v="6.91"/>
    <s v="M³"/>
    <n v="800"/>
    <n v="5529"/>
    <x v="2"/>
  </r>
  <r>
    <n v="-8"/>
    <x v="0"/>
    <n v="8"/>
    <x v="0"/>
    <s v="INSTALAçõES HIDROSSANITáRIAS"/>
    <n v="6"/>
    <s v="TORRE"/>
    <n v="8970.59"/>
    <n v="53824"/>
    <x v="0"/>
  </r>
  <r>
    <s v=" -8.1"/>
    <x v="1"/>
    <s v="09.01.02.01."/>
    <x v="8"/>
    <s v="Tubulações e Conexões - Esgoto (Ramal e Coluna)"/>
    <n v="1"/>
    <s v="TORRE"/>
    <n v="28121.47"/>
    <n v="28121"/>
    <x v="0"/>
  </r>
  <r>
    <s v="    8.1.1"/>
    <x v="2"/>
    <s v="27N"/>
    <x v="8"/>
    <s v="Adaptador saída para vaso sanitário 100mm"/>
    <n v="16"/>
    <s v="UN"/>
    <n v="79"/>
    <n v="1264"/>
    <x v="1"/>
  </r>
  <r>
    <s v="    8.1.2"/>
    <x v="2"/>
    <s v="28N"/>
    <x v="8"/>
    <s v="Bucha de reducao longa - serie reforcada - esgoto"/>
    <n v="16"/>
    <s v="UN"/>
    <n v="60"/>
    <n v="960"/>
    <x v="1"/>
  </r>
  <r>
    <s v="    8.1.3"/>
    <x v="2"/>
    <s v="29N"/>
    <x v="8"/>
    <s v="Cap PVC para esgoto 75mm"/>
    <n v="8"/>
    <s v="UN"/>
    <n v="12.5"/>
    <n v="100"/>
    <x v="1"/>
  </r>
  <r>
    <s v="    8.1.4"/>
    <x v="2"/>
    <n v="3516"/>
    <x v="8"/>
    <s v="Joelho PVC, soldavel, bb, 45 graus, DN 40 mm, para esgoto predial"/>
    <n v="20"/>
    <s v="UN"/>
    <n v="1.35"/>
    <n v="27"/>
    <x v="1"/>
  </r>
  <r>
    <s v="    8.1.5"/>
    <x v="2"/>
    <n v="3518"/>
    <x v="8"/>
    <s v="Joelho PVC, soldavel, pb, 45 graus, DN 50 mm, para esgoto predial"/>
    <n v="230"/>
    <s v="UN"/>
    <n v="4.03"/>
    <n v="927"/>
    <x v="1"/>
  </r>
  <r>
    <s v="    8.1.6"/>
    <x v="2"/>
    <n v="3519"/>
    <x v="8"/>
    <s v="Joelho PVC, soldavel, pb, 45 graus, DN 75 mm, para esgoto predial"/>
    <n v="8"/>
    <s v="UN"/>
    <n v="9.5299999999999994"/>
    <n v="76"/>
    <x v="1"/>
  </r>
  <r>
    <s v="    8.1.7"/>
    <x v="2"/>
    <n v="3528"/>
    <x v="8"/>
    <s v="Joelho PVC, soldavel, pb, 45 graus, DN 100 mm, para esgoto predial"/>
    <n v="90"/>
    <s v="UN"/>
    <n v="10.61"/>
    <n v="955"/>
    <x v="1"/>
  </r>
  <r>
    <s v="    8.1.8"/>
    <x v="2"/>
    <n v="9835"/>
    <x v="8"/>
    <s v="Tubo PVC  serie normal, DN 40 mm, para esgoto  predial (nbr 5688)"/>
    <n v="57.03"/>
    <s v="M"/>
    <n v="6.77"/>
    <n v="386"/>
    <x v="1"/>
  </r>
  <r>
    <s v="    8.1.9"/>
    <x v="2"/>
    <n v="9836"/>
    <x v="8"/>
    <s v="Tubo PVC  serie normal, DN 100 mm, para esgoto  predial (nbr 5688)"/>
    <n v="231.42"/>
    <s v="M"/>
    <n v="18.79"/>
    <n v="4348"/>
    <x v="1"/>
  </r>
  <r>
    <s v="    8.1.10"/>
    <x v="2"/>
    <n v="9837"/>
    <x v="8"/>
    <s v="Tubo PVC serie normal, DN 75 mm, para esgoto predial (nbr 5688)"/>
    <n v="72.760000000000005"/>
    <s v="M"/>
    <n v="16.649999999999999"/>
    <n v="1211"/>
    <x v="1"/>
  </r>
  <r>
    <s v="    8.1.11"/>
    <x v="2"/>
    <n v="9838"/>
    <x v="8"/>
    <s v="Tubo PVC serie normal, DN 50 mm, para esgoto predial (nbr 5688)"/>
    <n v="118.31"/>
    <s v="M"/>
    <n v="11.53"/>
    <n v="1364"/>
    <x v="1"/>
  </r>
  <r>
    <s v="    8.1.12"/>
    <x v="2"/>
    <s v="N01"/>
    <x v="8"/>
    <s v="Caixa Sinfonada"/>
    <n v="32"/>
    <s v="UN"/>
    <n v="21.9"/>
    <n v="701"/>
    <x v="1"/>
  </r>
  <r>
    <s v="    8.1.13"/>
    <x v="2"/>
    <s v="N02"/>
    <x v="8"/>
    <s v="Prolongamento - Caixa Sinfonada"/>
    <n v="32"/>
    <s v="UN"/>
    <n v="18.36"/>
    <n v="588"/>
    <x v="1"/>
  </r>
  <r>
    <s v="    8.1.14"/>
    <x v="2"/>
    <s v="N03"/>
    <x v="8"/>
    <s v="Bucha de Redução Longa_Série Reforçada-Ø50mm-Ø50mm"/>
    <n v="12"/>
    <s v="UN"/>
    <n v="10"/>
    <n v="120"/>
    <x v="1"/>
  </r>
  <r>
    <s v="    8.1.15"/>
    <x v="2"/>
    <s v="N04"/>
    <x v="8"/>
    <s v="Joelho 45_90 - Série Normal-Ø100mm"/>
    <n v="4"/>
    <s v="UN"/>
    <n v="12"/>
    <n v="48"/>
    <x v="1"/>
  </r>
  <r>
    <s v="    8.1.16"/>
    <x v="2"/>
    <s v="N05"/>
    <x v="8"/>
    <s v="Joelho 45_90 - Série Normal-Ø40mm"/>
    <n v="54"/>
    <s v="UN"/>
    <n v="5"/>
    <n v="270"/>
    <x v="1"/>
  </r>
  <r>
    <s v="    8.1.17"/>
    <x v="2"/>
    <s v="N06"/>
    <x v="8"/>
    <s v="Joelho 45_90 - Série Normal-Ø50mm"/>
    <n v="30"/>
    <s v="UN"/>
    <n v="5"/>
    <n v="150"/>
    <x v="1"/>
  </r>
  <r>
    <s v="    8.1.18"/>
    <x v="2"/>
    <s v="N07"/>
    <x v="8"/>
    <s v="Luva Simples Série Normal-Ø100mm"/>
    <n v="2"/>
    <s v="UN"/>
    <n v="12"/>
    <n v="24"/>
    <x v="1"/>
  </r>
  <r>
    <s v="    8.1.19"/>
    <x v="2"/>
    <s v="N08"/>
    <x v="8"/>
    <s v="Luva Simples Série Normal-Ø50mm"/>
    <n v="26"/>
    <s v="UN"/>
    <n v="5"/>
    <n v="130"/>
    <x v="1"/>
  </r>
  <r>
    <s v="    8.1.20"/>
    <x v="2"/>
    <s v="N09"/>
    <x v="8"/>
    <s v="Luva Simples Série Reforçada-Ø100mm"/>
    <n v="156"/>
    <s v="UN"/>
    <n v="15"/>
    <n v="2340"/>
    <x v="1"/>
  </r>
  <r>
    <s v="    8.1.21"/>
    <x v="2"/>
    <s v="N10"/>
    <x v="8"/>
    <s v="Luva Simples Série Reforçada-Ø50mm"/>
    <n v="170"/>
    <s v="UN"/>
    <n v="8"/>
    <n v="1360"/>
    <x v="1"/>
  </r>
  <r>
    <s v="    8.1.22"/>
    <x v="2"/>
    <s v="N11"/>
    <x v="8"/>
    <s v="Luva Simples Série Reforçada-Ø75mm"/>
    <n v="32"/>
    <s v="UN"/>
    <n v="8"/>
    <n v="256"/>
    <x v="1"/>
  </r>
  <r>
    <s v="    8.1.23"/>
    <x v="2"/>
    <s v="N12"/>
    <x v="8"/>
    <s v="Tê Junção Série Normal-Ø50mm"/>
    <n v="2"/>
    <s v="UN"/>
    <n v="8"/>
    <n v="16"/>
    <x v="1"/>
  </r>
  <r>
    <s v="    8.1.24"/>
    <x v="2"/>
    <s v="N13"/>
    <x v="8"/>
    <s v="Tê Junção Série Reforçada-Ø100mm"/>
    <n v="28"/>
    <s v="UN"/>
    <n v="80"/>
    <n v="2240"/>
    <x v="1"/>
  </r>
  <r>
    <s v="    8.1.25"/>
    <x v="2"/>
    <s v="N14"/>
    <x v="8"/>
    <s v="Tê Junção Série Reforçada-Ø100mm-Ø100mm-Ø50mm"/>
    <n v="32"/>
    <s v="UN"/>
    <n v="70"/>
    <n v="2240"/>
    <x v="1"/>
  </r>
  <r>
    <s v="    8.1.26"/>
    <x v="2"/>
    <s v="N15"/>
    <x v="8"/>
    <s v="Tê Junção Série Reforçada-Ø100mm-Ø100mm-Ø75mm"/>
    <n v="8"/>
    <s v="UN"/>
    <n v="70"/>
    <n v="560"/>
    <x v="1"/>
  </r>
  <r>
    <s v="    8.1.27"/>
    <x v="2"/>
    <s v="N16"/>
    <x v="8"/>
    <s v="Tê Junção Série Reforçada-Ø50mm"/>
    <n v="46"/>
    <s v="UN"/>
    <n v="70"/>
    <n v="3220"/>
    <x v="1"/>
  </r>
  <r>
    <s v="    8.1.28"/>
    <x v="2"/>
    <s v="N17"/>
    <x v="8"/>
    <s v="Tê Junção Série Reforçada-Ø75mm-Ø75mm-Ø50mm"/>
    <n v="32"/>
    <s v="UN"/>
    <n v="70"/>
    <n v="2240"/>
    <x v="1"/>
  </r>
  <r>
    <s v=" -8.2"/>
    <x v="1"/>
    <s v="09.01.02.02."/>
    <x v="8"/>
    <s v="Tubulações e Conexões - Água fria  (Ramal e Coluna)"/>
    <n v="1"/>
    <s v="TORRE"/>
    <n v="6502.09"/>
    <n v="6502"/>
    <x v="0"/>
  </r>
  <r>
    <s v="    8.2.1"/>
    <x v="2"/>
    <s v="30N"/>
    <x v="8"/>
    <s v="Tê de redução PVC branco roscável 1x3/4&quot; 32x25mm"/>
    <n v="10"/>
    <s v="UN"/>
    <n v="21.9"/>
    <n v="219"/>
    <x v="1"/>
  </r>
  <r>
    <s v="    8.2.2"/>
    <x v="2"/>
    <n v="3501"/>
    <x v="8"/>
    <s v="Joelho, PVC soldavel, 45 graus, 32 mm, para agua fria predial"/>
    <n v="4"/>
    <s v="UN"/>
    <n v="5.83"/>
    <n v="23"/>
    <x v="1"/>
  </r>
  <r>
    <s v="    8.2.3"/>
    <x v="2"/>
    <n v="3529"/>
    <x v="8"/>
    <s v="Joelho PVC, soldavel, 90 graus, 25 mm, para agua fria predial"/>
    <n v="304"/>
    <s v="UN"/>
    <n v="0.98"/>
    <n v="298"/>
    <x v="1"/>
  </r>
  <r>
    <s v="    8.2.4"/>
    <x v="2"/>
    <s v="41N"/>
    <x v="8"/>
    <s v="Tê de redução PVC branco roscável Ø25mm"/>
    <n v="50"/>
    <s v="UN"/>
    <n v="23"/>
    <n v="1150"/>
    <x v="1"/>
  </r>
  <r>
    <s v="    8.2.5"/>
    <x v="2"/>
    <n v="6019"/>
    <x v="8"/>
    <s v="REGISTRO GAVETA BRUTO EM LATAO FORJADO, BITOLA 1 &quot; (REF 1509)"/>
    <n v="48"/>
    <s v="UN"/>
    <n v="58.23"/>
    <n v="2795"/>
    <x v="1"/>
  </r>
  <r>
    <s v="    8.2.6"/>
    <x v="2"/>
    <n v="9868"/>
    <x v="8"/>
    <s v="Tubo PVC, soldavel, DN 25 mm, agua fria (nbr-5648)"/>
    <n v="322.58999999999997"/>
    <s v="M"/>
    <n v="5"/>
    <n v="1613"/>
    <x v="1"/>
  </r>
  <r>
    <s v="    8.2.7"/>
    <x v="2"/>
    <n v="9869"/>
    <x v="8"/>
    <s v="Tubo PVC, soldavel, DN 32 mm, agua fria (nbr-5648)"/>
    <n v="35.96"/>
    <s v="M"/>
    <n v="11.23"/>
    <n v="404"/>
    <x v="1"/>
  </r>
  <r>
    <s v=" -8.3"/>
    <x v="1"/>
    <s v="09.01.02.03."/>
    <x v="8"/>
    <s v="Instalações Hidrossanitárias - Ramal e Coluna - Mão de obra"/>
    <n v="4"/>
    <s v="TORRE"/>
    <n v="4800"/>
    <n v="19200"/>
    <x v="0"/>
  </r>
  <r>
    <s v="    8.3.1"/>
    <x v="2"/>
    <s v="31N"/>
    <x v="8"/>
    <s v="Empreiteiro instalações hidrossanitárias  (ramal e coluna)"/>
    <n v="16"/>
    <s v="PVTO"/>
    <n v="1200"/>
    <n v="19200"/>
    <x v="2"/>
  </r>
  <r>
    <n v="-9"/>
    <x v="0"/>
    <n v="9"/>
    <x v="9"/>
    <s v="REBOCO INTERNO"/>
    <n v="562.37"/>
    <s v="M²"/>
    <n v="26.43"/>
    <n v="14863"/>
    <x v="0"/>
  </r>
  <r>
    <s v=" -9.1"/>
    <x v="1"/>
    <s v="06.01.01."/>
    <x v="9"/>
    <s v="Reboco Interno - Argamassa"/>
    <n v="16555.52"/>
    <s v="KG"/>
    <n v="0.66"/>
    <n v="10927"/>
    <x v="0"/>
  </r>
  <r>
    <s v="    9.1.1"/>
    <x v="2"/>
    <n v="371"/>
    <x v="9"/>
    <s v="Argamassa Industrialziada "/>
    <n v="19866.63"/>
    <s v="KG"/>
    <n v="0.55000000000000004"/>
    <n v="10927"/>
    <x v="1"/>
  </r>
  <r>
    <s v=" -9.2"/>
    <x v="1"/>
    <s v="06.01.02."/>
    <x v="9"/>
    <s v="Reboco Interno - Mão de Obra"/>
    <n v="562.37"/>
    <s v="M²"/>
    <n v="7"/>
    <n v="3937"/>
    <x v="0"/>
  </r>
  <r>
    <s v="    9.2.1"/>
    <x v="2"/>
    <s v="39N"/>
    <x v="9"/>
    <s v="Empreiteiro - Reboco Interno"/>
    <n v="562.37"/>
    <s v="M²"/>
    <n v="7"/>
    <n v="3937"/>
    <x v="2"/>
  </r>
  <r>
    <n v="-10"/>
    <x v="0"/>
    <n v="10"/>
    <x v="0"/>
    <s v="SHAFT "/>
    <n v="85.54"/>
    <s v="M²"/>
    <n v="20"/>
    <n v="1711"/>
    <x v="0"/>
  </r>
  <r>
    <s v="   10.1"/>
    <x v="1"/>
    <s v="06.02.01."/>
    <x v="10"/>
    <s v="Fechamento do Shaft - Material"/>
    <n v="42.77"/>
    <s v="M²"/>
    <n v="15"/>
    <n v="642"/>
    <x v="0"/>
  </r>
  <r>
    <m/>
    <x v="2"/>
    <m/>
    <x v="10"/>
    <s v="Fechamento do Shaft - Material"/>
    <m/>
    <m/>
    <m/>
    <n v="642"/>
    <x v="1"/>
  </r>
  <r>
    <s v=" -10.2"/>
    <x v="1"/>
    <s v="06.02.02."/>
    <x v="10"/>
    <s v="Fechamento do Shaft - Mão de Obra"/>
    <n v="42.77"/>
    <s v="M²"/>
    <n v="25"/>
    <n v="1069"/>
    <x v="0"/>
  </r>
  <r>
    <s v="    10.2.1"/>
    <x v="2"/>
    <s v="11NA"/>
    <x v="10"/>
    <s v="Empreiterio - Shaft"/>
    <n v="42.77"/>
    <s v="M²"/>
    <n v="25"/>
    <n v="1069"/>
    <x v="2"/>
  </r>
  <r>
    <n v="-11"/>
    <x v="0"/>
    <n v="11"/>
    <x v="0"/>
    <s v="IMPERMEABILIZAçãO DO WC"/>
    <n v="24.33"/>
    <s v="M²"/>
    <n v="39.299999999999997"/>
    <n v="956"/>
    <x v="0"/>
  </r>
  <r>
    <s v=" -11.1"/>
    <x v="1"/>
    <s v="04.02.01."/>
    <x v="11"/>
    <s v="Impermeabilização do box do banheiro - Material"/>
    <n v="24.33"/>
    <s v="KG"/>
    <n v="21.3"/>
    <n v="518"/>
    <x v="0"/>
  </r>
  <r>
    <s v="    11.1.1"/>
    <x v="2"/>
    <n v="43147"/>
    <x v="11"/>
    <s v="Membrana impermeabilizante acrilica monocomponente"/>
    <n v="29.2"/>
    <s v="KG"/>
    <n v="17.75"/>
    <n v="518"/>
    <x v="1"/>
  </r>
  <r>
    <s v=" -11.2"/>
    <x v="1"/>
    <s v="04.02.02."/>
    <x v="11"/>
    <s v="Impermeabilização do box do banheiro - Mão de Obra"/>
    <n v="24.33"/>
    <s v="M²"/>
    <n v="18"/>
    <n v="438"/>
    <x v="0"/>
  </r>
  <r>
    <s v="    11.2.1"/>
    <x v="2"/>
    <s v="09N"/>
    <x v="11"/>
    <s v="Empreiteiro Impermeabilização do box do banheiro"/>
    <n v="29.2"/>
    <s v="M²"/>
    <n v="15"/>
    <n v="438"/>
    <x v="2"/>
  </r>
  <r>
    <n v="-12"/>
    <x v="0"/>
    <n v="12"/>
    <x v="0"/>
    <s v="CERâMICA APTOS"/>
    <n v="2693.28"/>
    <s v="M²"/>
    <n v="30.35"/>
    <n v="81743"/>
    <x v="0"/>
  </r>
  <r>
    <s v=" -12.1"/>
    <x v="1"/>
    <s v="06.03.01.01."/>
    <x v="12"/>
    <s v="Azulejo dos apartamentos "/>
    <n v="523.83000000000004"/>
    <s v="M²"/>
    <n v="27.5"/>
    <n v="14405"/>
    <x v="0"/>
  </r>
  <r>
    <s v="    12.1.1"/>
    <x v="2"/>
    <s v="12NA"/>
    <x v="12"/>
    <s v="Azulejo Branco 20 x 20"/>
    <m/>
    <s v="M²"/>
    <n v="25"/>
    <n v="14405"/>
    <x v="1"/>
  </r>
  <r>
    <s v=" -12.2"/>
    <x v="1"/>
    <s v="06.03.01.02."/>
    <x v="12"/>
    <s v="Piso cerâmico dos aparatamentos"/>
    <n v="345.04"/>
    <s v="M²"/>
    <n v="38.5"/>
    <n v="13284"/>
    <x v="0"/>
  </r>
  <r>
    <s v="    12.2.1"/>
    <x v="2"/>
    <s v="13N"/>
    <x v="12"/>
    <s v="Piso Cerâmico Cinza 40x40"/>
    <n v="379.54"/>
    <s v="M²"/>
    <n v="35"/>
    <n v="13284"/>
    <x v="1"/>
  </r>
  <r>
    <s v=" -12.3"/>
    <x v="1"/>
    <s v="06.03.01.03."/>
    <x v="12"/>
    <s v="Soleiras"/>
    <n v="9.68"/>
    <s v="M²"/>
    <n v="291.64999999999998"/>
    <n v="2822"/>
    <x v="0"/>
  </r>
  <r>
    <s v="    12.3.1"/>
    <x v="2"/>
    <n v="25981"/>
    <x v="12"/>
    <s v="Piso/ revestimento em granito, polido"/>
    <n v="9.68"/>
    <s v="M²"/>
    <n v="291.64999999999998"/>
    <n v="2822"/>
    <x v="1"/>
  </r>
  <r>
    <s v=" -12.4"/>
    <x v="1"/>
    <s v="06.03.01.04."/>
    <x v="12"/>
    <s v="Régua de Basalto Box"/>
    <n v="1.57"/>
    <s v="M²"/>
    <n v="291.64999999999998"/>
    <n v="457"/>
    <x v="0"/>
  </r>
  <r>
    <s v="    12.4.1"/>
    <x v="2"/>
    <n v="25981"/>
    <x v="12"/>
    <s v="Piso/ revestimento em granito, polido"/>
    <n v="1.57"/>
    <s v="M²"/>
    <n v="291.64999999999998"/>
    <n v="457"/>
    <x v="1"/>
  </r>
  <r>
    <s v=" -12.5"/>
    <x v="1"/>
    <s v="06.03.01.05."/>
    <x v="12"/>
    <s v="Cimento Cola, Espaçador e Rejunte para rev cerâmicos dos aptos"/>
    <n v="868.87"/>
    <s v="M²"/>
    <n v="4.0999999999999996"/>
    <n v="3559"/>
    <x v="0"/>
  </r>
  <r>
    <s v="    12.5.1"/>
    <x v="2"/>
    <n v="1381"/>
    <x v="12"/>
    <s v="Argamassa Colante - AC II"/>
    <n v="4222.6899999999996"/>
    <s v="KG"/>
    <n v="0.51"/>
    <n v="2154"/>
    <x v="1"/>
  </r>
  <r>
    <s v="    12.5.2"/>
    <x v="2"/>
    <s v="14N"/>
    <x v="12"/>
    <s v="Espaçadores para Cerâmica/Porcelanato"/>
    <n v="13032.98"/>
    <s v="UN"/>
    <n v="0.05"/>
    <n v="652"/>
    <x v="1"/>
  </r>
  <r>
    <s v="    12.5.3"/>
    <x v="2"/>
    <n v="34357"/>
    <x v="12"/>
    <s v="Rejunte"/>
    <n v="251.97"/>
    <s v="KG"/>
    <n v="2.99"/>
    <n v="753"/>
    <x v="1"/>
  </r>
  <r>
    <s v=" -12.6"/>
    <x v="1"/>
    <s v="06.03.02.01."/>
    <x v="12"/>
    <s v="Empreiteiro - Revestimentos Cerâmicos "/>
    <n v="944.31"/>
    <s v="M²"/>
    <n v="50"/>
    <n v="47215"/>
    <x v="0"/>
  </r>
  <r>
    <s v="    12.6.1"/>
    <x v="2"/>
    <s v="15N"/>
    <x v="12"/>
    <s v="Empreiterio - Revestimento Cerâmico"/>
    <n v="944.31"/>
    <s v="M²"/>
    <n v="50"/>
    <n v="47215"/>
    <x v="2"/>
  </r>
  <r>
    <n v="-13"/>
    <x v="0"/>
    <n v="13"/>
    <x v="0"/>
    <s v="GESSO LISO"/>
    <n v="1789.8"/>
    <s v="M²"/>
    <n v="15.22"/>
    <n v="27245"/>
    <x v="0"/>
  </r>
  <r>
    <s v=" -13.1"/>
    <x v="1"/>
    <s v="06.07.01."/>
    <x v="13"/>
    <s v="Gesso Liso - Material"/>
    <n v="30659.35"/>
    <s v="KG"/>
    <n v="0.48"/>
    <n v="14716"/>
    <x v="0"/>
  </r>
  <r>
    <s v="    13.1.1"/>
    <x v="2"/>
    <n v="3315"/>
    <x v="13"/>
    <s v="Gesso em po para revestimentos/molduras/sancas e uso geral"/>
    <n v="30659.35"/>
    <s v="KG"/>
    <n v="0.48"/>
    <n v="14716"/>
    <x v="1"/>
  </r>
  <r>
    <s v=" -13.2"/>
    <x v="1"/>
    <s v="06.07.02."/>
    <x v="13"/>
    <s v="Gesso Liso - Mão de Obra"/>
    <n v="1789.8"/>
    <s v="M²"/>
    <n v="7"/>
    <n v="12529"/>
    <x v="0"/>
  </r>
  <r>
    <s v="    13.2.1"/>
    <x v="2"/>
    <s v="19AN"/>
    <x v="13"/>
    <s v="Empreiterio - Gesso Liso"/>
    <n v="1789.8"/>
    <s v="M²"/>
    <n v="7"/>
    <n v="12529"/>
    <x v="2"/>
  </r>
  <r>
    <n v="-14"/>
    <x v="0"/>
    <n v="14"/>
    <x v="0"/>
    <s v="ESQUADRIA DE ALUMINIO"/>
    <n v="84"/>
    <s v="UN"/>
    <n v="1261.9000000000001"/>
    <n v="106000"/>
    <x v="0"/>
  </r>
  <r>
    <s v=" -14.1"/>
    <x v="1"/>
    <s v="03.01.02."/>
    <x v="14"/>
    <s v="Esquadrias de Alumínio - Fornecimento/Instalação "/>
    <n v="84"/>
    <s v="UN"/>
    <n v="1261.9000000000001"/>
    <n v="106000"/>
    <x v="0"/>
  </r>
  <r>
    <s v="    14.1.1"/>
    <x v="2"/>
    <s v="03.01.02.01."/>
    <x v="14"/>
    <s v="Esquadria de Alumínio 150x120 - 2 folhas de correr com veneziana"/>
    <n v="16"/>
    <s v="UN"/>
    <n v="1500"/>
    <n v="24000"/>
    <x v="1"/>
  </r>
  <r>
    <s v="    14.1.2"/>
    <x v="2"/>
    <s v="03.01.02.02."/>
    <x v="14"/>
    <s v="Esquadria de Alumínio - 60x80 - Maxim-Air"/>
    <n v="16"/>
    <s v="UN"/>
    <n v="350"/>
    <n v="5600"/>
    <x v="1"/>
  </r>
  <r>
    <s v="    14.1.3"/>
    <x v="2"/>
    <s v="03.01.02.03."/>
    <x v="14"/>
    <s v="Esquadria de Alumínio - 180 x 120 - 2 folhas de correr sem veneziana"/>
    <n v="16"/>
    <s v="UN"/>
    <n v="1200"/>
    <n v="19200"/>
    <x v="1"/>
  </r>
  <r>
    <s v="    14.1.4"/>
    <x v="2"/>
    <s v="03.01.02.04."/>
    <x v="14"/>
    <s v="Esquadria de Alumínio - 105 x 120 - 2 folhas de correr sem veneziana"/>
    <n v="19"/>
    <s v="UN"/>
    <n v="800"/>
    <n v="15200"/>
    <x v="1"/>
  </r>
  <r>
    <s v="    14.1.5"/>
    <x v="2"/>
    <s v="03.01.02.05."/>
    <x v="14"/>
    <s v="Esquadria de Alumínio - 120 x 120 - 2 folhas de correr com veneziana"/>
    <n v="16"/>
    <s v="UN"/>
    <n v="1200"/>
    <n v="19200"/>
    <x v="1"/>
  </r>
  <r>
    <s v="    14.1.6"/>
    <x v="2"/>
    <s v="03.01.02.06."/>
    <x v="14"/>
    <s v="Porta de Entrada"/>
    <n v="1"/>
    <s v="UN"/>
    <n v="1800"/>
    <n v="1800"/>
    <x v="1"/>
  </r>
  <r>
    <s v="    14.1.7"/>
    <x v="2"/>
    <s v="03.01.02.07."/>
    <x v="14"/>
    <s v="MO Instalação de Esquadrias de Alumínio"/>
    <n v="84"/>
    <s v="UN"/>
    <n v="250"/>
    <n v="21000"/>
    <x v="2"/>
  </r>
  <r>
    <n v="-15"/>
    <x v="0"/>
    <n v="15"/>
    <x v="0"/>
    <s v="FIAçãO"/>
    <n v="16"/>
    <s v="APTO"/>
    <n v="1283.6300000000001"/>
    <n v="20538"/>
    <x v="0"/>
  </r>
  <r>
    <s v=" -15.1"/>
    <x v="1"/>
    <s v="09.02.03.01."/>
    <x v="15"/>
    <s v="Instalações Elétricas - Fiação - Material "/>
    <n v="3908.12"/>
    <s v="TORRE"/>
    <n v="1.98"/>
    <n v="7738"/>
    <x v="0"/>
  </r>
  <r>
    <s v="    15.1.1"/>
    <x v="2"/>
    <n v="91929"/>
    <x v="15"/>
    <s v="Cabo de cobre flexível isolado, 4 mm², anti-chama 0,6/1,0 kv, para circuitos terminais - fornecimento e instalação. af_12/2015"/>
    <n v="4298.93"/>
    <s v="M"/>
    <n v="1.8"/>
    <n v="7738"/>
    <x v="1"/>
  </r>
  <r>
    <s v=" -15.2"/>
    <x v="1"/>
    <s v="09.02.03.02."/>
    <x v="15"/>
    <s v="Instalações Elétricas - Fiação - Mão de Obra"/>
    <n v="16"/>
    <s v="APTO"/>
    <n v="800"/>
    <n v="12800"/>
    <x v="0"/>
  </r>
  <r>
    <s v="    15.2.1"/>
    <x v="2"/>
    <s v="34N"/>
    <x v="15"/>
    <s v="Empreiteiro instalações fiação"/>
    <n v="16"/>
    <s v="APTO"/>
    <n v="450"/>
    <n v="7200"/>
    <x v="2"/>
  </r>
  <r>
    <s v="    15.2.2"/>
    <x v="2"/>
    <s v="36N"/>
    <x v="15"/>
    <s v="Empreiteiro Elétrico - Acabamentos"/>
    <n v="16"/>
    <s v="APTO"/>
    <n v="350"/>
    <n v="5600"/>
    <x v="2"/>
  </r>
  <r>
    <n v="-16"/>
    <x v="0"/>
    <n v="16"/>
    <x v="0"/>
    <s v="FORRO"/>
    <n v="234.3"/>
    <s v="M²"/>
    <n v="39.22"/>
    <n v="9190"/>
    <x v="0"/>
  </r>
  <r>
    <s v=" -16.1"/>
    <x v="1"/>
    <s v="06.06.01."/>
    <x v="16"/>
    <s v="Forro dos Apartamentos - Material"/>
    <n v="117.15"/>
    <s v="M²"/>
    <n v="53.45"/>
    <n v="6261"/>
    <x v="0"/>
  </r>
  <r>
    <s v="    16.1.1"/>
    <x v="2"/>
    <n v="39413"/>
    <x v="16"/>
    <s v="Placa / chapa de gesso acartonado, standard (st), cor branca, e = 12,5 mm, 1200 x 2400 mm (l x c)"/>
    <n v="124.94"/>
    <s v="M²"/>
    <n v="16.68"/>
    <n v="2084"/>
    <x v="1"/>
  </r>
  <r>
    <s v="    16.1.2"/>
    <x v="2"/>
    <n v="39427"/>
    <x v="16"/>
    <s v="Perfil canaleta, formato c, em aco zincado, para estrutura forro drywall, e = 0,5 mm, *46 x 18* (l x h), comprimento 3 m"/>
    <n v="281.16000000000003"/>
    <s v="M"/>
    <n v="8.4600000000000009"/>
    <n v="2379"/>
    <x v="1"/>
  </r>
  <r>
    <s v="    16.1.3"/>
    <x v="2"/>
    <n v="39430"/>
    <x v="16"/>
    <s v="Pendural ou presilha reguladora, em aco galvanizado, com corpo, mola e rebite, para perfil tipo canaleta de estrutura em forros drywall"/>
    <n v="259.16000000000003"/>
    <s v="UN"/>
    <n v="3.19"/>
    <n v="827"/>
    <x v="1"/>
  </r>
  <r>
    <s v="    16.1.4"/>
    <x v="2"/>
    <n v="39432"/>
    <x v="16"/>
    <s v="Fita de papel reforcada com lamina de metal para reforco de cantos de chapa de gesso para drywall"/>
    <n v="168.74"/>
    <s v="M"/>
    <n v="2.4700000000000002"/>
    <n v="417"/>
    <x v="1"/>
  </r>
  <r>
    <s v="    16.1.5"/>
    <x v="2"/>
    <n v="39434"/>
    <x v="16"/>
    <s v="Massa de rejunte em po para drywall"/>
    <n v="60.94"/>
    <s v="KG"/>
    <n v="3.32"/>
    <n v="202"/>
    <x v="1"/>
  </r>
  <r>
    <s v="    16.1.6"/>
    <x v="2"/>
    <n v="39435"/>
    <x v="16"/>
    <s v="Parafuso dry wall, em aco fosfatizado, cabeça trombeta e ponta agulha (ta), comprimento 25 mm"/>
    <n v="934.16"/>
    <s v="UN"/>
    <n v="0.06"/>
    <n v="56"/>
    <x v="1"/>
  </r>
  <r>
    <s v="    16.1.7"/>
    <x v="2"/>
    <n v="40547"/>
    <x v="16"/>
    <s v="Parafuso zincado, autobrocante, flangeado, 4,2 mm x 19 mm"/>
    <n v="2.59"/>
    <s v="CENTO"/>
    <n v="18.05"/>
    <n v="47"/>
    <x v="1"/>
  </r>
  <r>
    <s v="    16.1.8"/>
    <x v="2"/>
    <n v="43131"/>
    <x v="16"/>
    <s v="Arame galvanizado 6 bwg, d = 5,16 mm (0,157 kg/m), ou 8 bwg, d = 4,19 mm (0,101 kg/m), ou 10 bwg, d = 3,40 mm (0,0713 kg/m)"/>
    <n v="8.33"/>
    <s v="KG"/>
    <n v="30"/>
    <n v="250"/>
    <x v="1"/>
  </r>
  <r>
    <s v=" -16.2"/>
    <x v="1"/>
    <s v="06.06.02."/>
    <x v="16"/>
    <s v="Forro dos Apartamentos - Mão de Obra"/>
    <n v="117.15"/>
    <s v="M²"/>
    <n v="25"/>
    <n v="2929"/>
    <x v="0"/>
  </r>
  <r>
    <s v="    16.2.1"/>
    <x v="2"/>
    <s v="19N"/>
    <x v="16"/>
    <s v="Empreiteiro - Instalação de Forro de Gesso Acartonado"/>
    <n v="117.15"/>
    <s v="M²"/>
    <n v="25"/>
    <n v="2929"/>
    <x v="2"/>
  </r>
  <r>
    <n v="-17"/>
    <x v="0"/>
    <n v="17"/>
    <x v="0"/>
    <s v="DISJUNTORES E CD"/>
    <n v="16"/>
    <s v="APTO"/>
    <n v="350"/>
    <n v="5600"/>
    <x v="0"/>
  </r>
  <r>
    <s v="   17.1"/>
    <x v="1"/>
    <s v="09.02.04."/>
    <x v="17"/>
    <s v="Instalações Elétricas -Disjuntores e CDS"/>
    <n v="16"/>
    <s v="APTO"/>
    <n v="350"/>
    <n v="5600"/>
    <x v="0"/>
  </r>
  <r>
    <m/>
    <x v="2"/>
    <m/>
    <x v="17"/>
    <s v="Instalações Elétricas -Disjuntores e CDS"/>
    <m/>
    <m/>
    <m/>
    <n v="5600"/>
    <x v="2"/>
  </r>
  <r>
    <n v="-18"/>
    <x v="0"/>
    <n v="18"/>
    <x v="0"/>
    <s v="REVESTIMENTO DA CIRCULAçãO"/>
    <n v="311.93"/>
    <s v="M²"/>
    <n v="46.39"/>
    <n v="14469"/>
    <x v="0"/>
  </r>
  <r>
    <s v=" -18.1"/>
    <x v="1"/>
    <s v="06.04.01.01."/>
    <x v="18"/>
    <s v="Porcelanato 30 x 30 da circulação"/>
    <n v="90"/>
    <s v="M²"/>
    <n v="60"/>
    <n v="5400"/>
    <x v="0"/>
  </r>
  <r>
    <s v="    18.1.1"/>
    <x v="2"/>
    <s v="16N"/>
    <x v="18"/>
    <s v="Porcelanato 30 x 30 "/>
    <n v="108"/>
    <s v="M²"/>
    <n v="50"/>
    <n v="5400"/>
    <x v="1"/>
  </r>
  <r>
    <s v=" -18.2"/>
    <x v="1"/>
    <s v="06.04.01.02."/>
    <x v="18"/>
    <s v="Cimento Cola, Espaçador e Rejunte para porcelanato da circulação"/>
    <n v="103.98"/>
    <s v="M²"/>
    <n v="4.0999999999999996"/>
    <n v="426"/>
    <x v="0"/>
  </r>
  <r>
    <s v="    18.2.1"/>
    <x v="2"/>
    <n v="1381"/>
    <x v="18"/>
    <s v="Argamassa Colante - AC II"/>
    <n v="505.32"/>
    <s v="KG"/>
    <n v="0.51"/>
    <n v="258"/>
    <x v="1"/>
  </r>
  <r>
    <s v="    18.2.2"/>
    <x v="2"/>
    <s v="14N"/>
    <x v="18"/>
    <s v="Espaçadores para Cerâmica/Porcelanato"/>
    <n v="1559.63"/>
    <s v="UN"/>
    <n v="0.05"/>
    <n v="78"/>
    <x v="1"/>
  </r>
  <r>
    <s v="    18.2.3"/>
    <x v="2"/>
    <n v="34357"/>
    <x v="18"/>
    <s v="Rejunte"/>
    <n v="30.15"/>
    <s v="KG"/>
    <n v="2.99"/>
    <n v="90"/>
    <x v="1"/>
  </r>
  <r>
    <s v=" -18.3"/>
    <x v="1"/>
    <s v="06.04.01.03."/>
    <x v="18"/>
    <s v="Basalto - Escada"/>
    <n v="13.98"/>
    <s v="M²"/>
    <n v="320.82"/>
    <n v="4485"/>
    <x v="0"/>
  </r>
  <r>
    <s v="    18.3.1"/>
    <x v="2"/>
    <n v="25981"/>
    <x v="18"/>
    <s v="Piso/ revestimento em granito, polido"/>
    <n v="15.38"/>
    <s v="M²"/>
    <n v="291.64999999999998"/>
    <n v="4485"/>
    <x v="1"/>
  </r>
  <r>
    <s v=" -18.4"/>
    <x v="1"/>
    <s v="06.04.02.01."/>
    <x v="18"/>
    <s v="Mão de Obra - Instalação do porcelanato da circulação"/>
    <n v="90"/>
    <s v="M²"/>
    <n v="40"/>
    <n v="3600"/>
    <x v="0"/>
  </r>
  <r>
    <s v="    18.4.1"/>
    <x v="2"/>
    <s v="15NA"/>
    <x v="18"/>
    <s v="Empreiterio - Porcelanato"/>
    <n v="90"/>
    <s v="M²"/>
    <n v="40"/>
    <n v="3600"/>
    <x v="2"/>
  </r>
  <r>
    <s v=" -18.5"/>
    <x v="1"/>
    <s v="06.04.02.03."/>
    <x v="18"/>
    <s v="Mao de Obra - Instalação do piso da escada"/>
    <n v="13.98"/>
    <s v="M²"/>
    <n v="40"/>
    <n v="559"/>
    <x v="0"/>
  </r>
  <r>
    <s v="    18.5.1"/>
    <x v="2"/>
    <s v="17N"/>
    <x v="18"/>
    <s v="Empreiterio - Piso da Escada"/>
    <n v="13.98"/>
    <s v="M²"/>
    <n v="40"/>
    <n v="559"/>
    <x v="2"/>
  </r>
  <r>
    <n v="-19"/>
    <x v="0"/>
    <n v="19"/>
    <x v="0"/>
    <s v="PINTURA INTERNA - 1ªDMãO"/>
    <n v="2458.25"/>
    <s v="M²"/>
    <n v="24.08"/>
    <n v="59199"/>
    <x v="0"/>
  </r>
  <r>
    <s v=" -19.1"/>
    <x v="1"/>
    <s v="08.01.01.01."/>
    <x v="19"/>
    <s v="Pintura Interna - Selador"/>
    <n v="393.32"/>
    <s v="L"/>
    <n v="6.09"/>
    <n v="2395"/>
    <x v="0"/>
  </r>
  <r>
    <s v="    19.1.1"/>
    <x v="2"/>
    <n v="6085"/>
    <x v="19"/>
    <s v="Selador acrilico paredes internas/externas"/>
    <n v="393.32"/>
    <s v="L"/>
    <n v="6.09"/>
    <n v="2395"/>
    <x v="1"/>
  </r>
  <r>
    <s v=" -19.2"/>
    <x v="1"/>
    <s v="08.01.01.02."/>
    <x v="19"/>
    <s v="Pintura Interna - Textura"/>
    <n v="628.48"/>
    <s v="KG"/>
    <n v="7.86"/>
    <n v="4940"/>
    <x v="0"/>
  </r>
  <r>
    <s v="    19.2.1"/>
    <x v="2"/>
    <n v="38877"/>
    <x v="19"/>
    <s v="Massa para textura lisa de base acrilica, uso interno e externo"/>
    <n v="628.48"/>
    <s v="KG"/>
    <n v="7.86"/>
    <n v="4940"/>
    <x v="1"/>
  </r>
  <r>
    <s v=" -19.3"/>
    <x v="1"/>
    <s v="08.01.01.03."/>
    <x v="19"/>
    <s v="Pintura Interna - Tinta Acrílica Branco - 2 demão"/>
    <n v="811.22"/>
    <s v="L"/>
    <n v="25.53"/>
    <n v="20711"/>
    <x v="0"/>
  </r>
  <r>
    <s v="    19.3.1"/>
    <x v="2"/>
    <n v="7356"/>
    <x v="19"/>
    <s v="Tinta acrilica premium, cor branco fosco"/>
    <n v="811.22"/>
    <s v="L"/>
    <n v="25.53"/>
    <n v="20711"/>
    <x v="1"/>
  </r>
  <r>
    <s v=" -19.4"/>
    <x v="1"/>
    <s v="08.01.02.01."/>
    <x v="19"/>
    <s v="Mão de Obra - Pintura Selador + Textura + Acrilica (1ª demão)"/>
    <n v="551.29999999999995"/>
    <s v="M²"/>
    <n v="15"/>
    <n v="8269"/>
    <x v="0"/>
  </r>
  <r>
    <s v="    19.4.1"/>
    <x v="2"/>
    <s v="23N"/>
    <x v="19"/>
    <s v="Empreiteiro - Pintura Selador + Textura + Acrilica"/>
    <n v="551.29999999999995"/>
    <s v="M²"/>
    <n v="15"/>
    <n v="8269"/>
    <x v="2"/>
  </r>
  <r>
    <s v=" -19.5"/>
    <x v="1"/>
    <s v="08.01.02.02."/>
    <x v="19"/>
    <s v="Mão de Obra - Pintura Selador  + Acrilica (1ª demão)"/>
    <n v="1906.96"/>
    <s v="M²"/>
    <n v="12"/>
    <n v="22883"/>
    <x v="0"/>
  </r>
  <r>
    <s v="    19.5.1"/>
    <x v="2"/>
    <s v="24N"/>
    <x v="19"/>
    <s v="Empreiteiro - Pintura Selador  + Acrilica"/>
    <n v="1906.96"/>
    <s v="M²"/>
    <n v="12"/>
    <n v="22883"/>
    <x v="2"/>
  </r>
  <r>
    <n v="-20"/>
    <x v="0"/>
    <n v="20"/>
    <x v="0"/>
    <s v="ESQUADRIAS DE FERRO"/>
    <n v="16.7"/>
    <s v="M"/>
    <n v="492"/>
    <n v="8216"/>
    <x v="0"/>
  </r>
  <r>
    <s v=" -20.1"/>
    <x v="1"/>
    <s v="03.03."/>
    <x v="20"/>
    <s v="Esquadrias de Ferro"/>
    <n v="16.7"/>
    <s v="M"/>
    <n v="492"/>
    <n v="8216"/>
    <x v="0"/>
  </r>
  <r>
    <s v="    20.1.1"/>
    <x v="2"/>
    <s v="03.03.01."/>
    <x v="20"/>
    <s v="Guarda Corpo - Material + Instalação"/>
    <n v="16.7"/>
    <s v="M"/>
    <n v="492"/>
    <n v="8216"/>
    <x v="1"/>
  </r>
  <r>
    <s v="    20.1.2"/>
    <x v="2"/>
    <s v="03.03.02."/>
    <x v="20"/>
    <s v="Corrimão - Material + Instalação "/>
    <n v="0"/>
    <s v="M"/>
    <n v="78.12"/>
    <n v="0"/>
    <x v="2"/>
  </r>
  <r>
    <n v="-21"/>
    <x v="0"/>
    <n v="21"/>
    <x v="0"/>
    <s v="LOUçAS"/>
    <n v="128"/>
    <s v="TORRE"/>
    <n v="163.63"/>
    <n v="20944"/>
    <x v="0"/>
  </r>
  <r>
    <s v=" -21.1"/>
    <x v="1"/>
    <s v="09.03.01"/>
    <x v="21"/>
    <s v="Louças - Material"/>
    <n v="64"/>
    <s v="TORRE"/>
    <n v="277.25"/>
    <n v="17744"/>
    <x v="0"/>
  </r>
  <r>
    <s v="    21.1.1"/>
    <x v="2"/>
    <n v="10420"/>
    <x v="21"/>
    <s v="Bacia sanitaria (vaso) convencional, de louca branca, sifao aparente, saida vertical (sem assento)"/>
    <n v="16"/>
    <s v="UN"/>
    <n v="149.9"/>
    <n v="2398"/>
    <x v="1"/>
  </r>
  <r>
    <s v="    21.1.2"/>
    <x v="2"/>
    <n v="20271"/>
    <x v="21"/>
    <s v="Tanque de louca branca, com coluna, *30* l"/>
    <n v="16"/>
    <s v="UN"/>
    <n v="391"/>
    <n v="6256"/>
    <x v="1"/>
  </r>
  <r>
    <s v="    21.1.3"/>
    <x v="2"/>
    <n v="36794"/>
    <x v="21"/>
    <s v="Lavatorio de louca branca, com coluna, dimensoes *44 x 35* cm (l x c)"/>
    <n v="16"/>
    <s v="UN"/>
    <n v="119.46"/>
    <n v="1911"/>
    <x v="1"/>
  </r>
  <r>
    <s v="    21.1.4"/>
    <x v="2"/>
    <n v="37329"/>
    <x v="21"/>
    <s v="Rejunte epoxi, qualquer cor"/>
    <n v="5.64"/>
    <s v="KG"/>
    <n v="63.07"/>
    <n v="356"/>
    <x v="1"/>
  </r>
  <r>
    <s v="    21.1.5"/>
    <x v="2"/>
    <n v="4351"/>
    <x v="21"/>
    <s v="Parafuso niquelado 3 1/2&quot; com acabamento cromado para fixar peca sanitaria, inclui porca cega, arruela e bucha de nylon tamanho s-8 (tanque e lavatorio)"/>
    <n v="192"/>
    <s v="UN"/>
    <n v="11.01"/>
    <n v="2114"/>
    <x v="1"/>
  </r>
  <r>
    <s v="    21.1.6"/>
    <x v="2"/>
    <n v="4384"/>
    <x v="21"/>
    <s v="Parafuso niquelado com acabamento cromado para fixar peca sanitaria, inclui porca cega, arruela e bucha de nylon tamanho s-10 (vaso)"/>
    <n v="32"/>
    <s v="UN"/>
    <n v="14.85"/>
    <n v="475"/>
    <x v="1"/>
  </r>
  <r>
    <s v="    21.1.7"/>
    <x v="2"/>
    <n v="6138"/>
    <x v="21"/>
    <s v="Vedacao PVC, 100 mm, para saida vaso sanitario"/>
    <n v="16"/>
    <s v="UN"/>
    <n v="3.01"/>
    <n v="48"/>
    <x v="1"/>
  </r>
  <r>
    <s v="    21.1.8"/>
    <x v="2"/>
    <n v="6141"/>
    <x v="21"/>
    <s v="Engate/rabicho flexivel plastico (PVC ou abs) branco 1/2 &quot; x 30 cm (lavatorio)"/>
    <n v="16"/>
    <s v="UN"/>
    <n v="5.15"/>
    <n v="82"/>
    <x v="1"/>
  </r>
  <r>
    <s v="    21.1.9"/>
    <x v="2"/>
    <n v="6142"/>
    <x v="21"/>
    <s v="Conjunto de ligacao para bacia sanitaria ajustavel, em plastico branco, com tubo, canopla e espude"/>
    <n v="16"/>
    <s v="UN"/>
    <n v="9.73"/>
    <n v="156"/>
    <x v="1"/>
  </r>
  <r>
    <s v="    21.1.10"/>
    <x v="2"/>
    <n v="6148"/>
    <x v="21"/>
    <s v="Sifao plastico flexivel saida vertical para coluna lavatorio, 1 x 1.1/2 &quot;"/>
    <n v="48"/>
    <s v="UN"/>
    <n v="11.44"/>
    <n v="549"/>
    <x v="1"/>
  </r>
  <r>
    <s v="    21.1.11"/>
    <x v="2"/>
    <n v="6153"/>
    <x v="21"/>
    <s v="Valvula em plastico branco para tanque ou lavatorio 1 &quot;, sem unho e sem ladrao (tanque e lavatório)"/>
    <n v="48"/>
    <s v="UN"/>
    <n v="4.13"/>
    <n v="198"/>
    <x v="1"/>
  </r>
  <r>
    <s v="    21.1.12"/>
    <x v="2"/>
    <s v="[2]"/>
    <x v="21"/>
    <s v="Tampo Granilite Cozinha"/>
    <n v="16"/>
    <s v="UN"/>
    <n v="200"/>
    <n v="3200"/>
    <x v="1"/>
  </r>
  <r>
    <s v=" -21.2"/>
    <x v="1"/>
    <s v="09.03.02"/>
    <x v="21"/>
    <s v="Louças - Mão de Obra"/>
    <n v="64"/>
    <s v="TORRE"/>
    <n v="50"/>
    <n v="3200"/>
    <x v="0"/>
  </r>
  <r>
    <s v="    21.2.1"/>
    <x v="2"/>
    <s v="37N"/>
    <x v="21"/>
    <s v="Empreiteiro - Instalação das louças"/>
    <n v="64"/>
    <s v="UN"/>
    <n v="50"/>
    <n v="3200"/>
    <x v="2"/>
  </r>
  <r>
    <n v="-22"/>
    <x v="0"/>
    <n v="22"/>
    <x v="0"/>
    <s v="PISO VINILICO"/>
    <n v="647.01"/>
    <s v="M²"/>
    <n v="81.430000000000007"/>
    <n v="52685"/>
    <x v="0"/>
  </r>
  <r>
    <s v=" -22.1"/>
    <x v="1"/>
    <s v="06.08.01.01."/>
    <x v="22"/>
    <s v="Placa de Piso Vinilico"/>
    <n v="323.5"/>
    <s v="M²"/>
    <n v="84.21"/>
    <n v="27242"/>
    <x v="3"/>
  </r>
  <r>
    <s v="    22.1.1"/>
    <x v="2"/>
    <n v="4790"/>
    <x v="22"/>
    <s v="Placa vinilica semiflexivel para revestimento de pisos e paredes, e = 2 mm "/>
    <n v="339.68"/>
    <s v="M²"/>
    <n v="80.2"/>
    <n v="27242"/>
    <x v="1"/>
  </r>
  <r>
    <s v=" -22.2"/>
    <x v="1"/>
    <s v="06.08.01.02."/>
    <x v="22"/>
    <s v="Rodapé de Piso Vinilico"/>
    <n v="400.93"/>
    <s v="M"/>
    <n v="20.440000000000001"/>
    <n v="8196"/>
    <x v="0"/>
  </r>
  <r>
    <s v="    22.2.1"/>
    <x v="2"/>
    <n v="4804"/>
    <x v="22"/>
    <s v="Rodape plano para piso vinilico, h = 5 cm"/>
    <n v="420.97"/>
    <s v="M"/>
    <n v="19.47"/>
    <n v="8196"/>
    <x v="1"/>
  </r>
  <r>
    <s v=" -22.3"/>
    <x v="1"/>
    <s v="06.08.01.03."/>
    <x v="22"/>
    <s v="Cola de Contato - Material ( 0,14kg/m2 e 0,07kg/m)"/>
    <n v="467.05"/>
    <s v="KG"/>
    <n v="19.61"/>
    <n v="9159"/>
    <x v="0"/>
  </r>
  <r>
    <s v="    22.3.1"/>
    <x v="2"/>
    <n v="4791"/>
    <x v="22"/>
    <s v="Adesivo acrilico/cola de contato"/>
    <n v="467.05"/>
    <s v="KG"/>
    <n v="19.61"/>
    <n v="9159"/>
    <x v="1"/>
  </r>
  <r>
    <s v=" -22.4"/>
    <x v="1"/>
    <s v="06.08.02.01."/>
    <x v="22"/>
    <s v="Mão de Obra Terceirizada - Instalação de Rodapé Vinilico"/>
    <n v="0"/>
    <s v="M"/>
    <n v="0"/>
    <n v="0"/>
    <x v="0"/>
  </r>
  <r>
    <s v="    22.4.1"/>
    <x v="2"/>
    <s v="20N"/>
    <x v="22"/>
    <s v="Empreiteiro - Instalação de Rodapé Vinilico"/>
    <n v="0"/>
    <s v="M"/>
    <n v="12.5"/>
    <n v="0"/>
    <x v="2"/>
  </r>
  <r>
    <s v=" -22.5"/>
    <x v="1"/>
    <s v="06.08.02.02."/>
    <x v="22"/>
    <s v="Mão de Obra Terceirizada - Instalação de Piso Vinilico"/>
    <n v="323.5"/>
    <s v="M²"/>
    <n v="25"/>
    <n v="8088"/>
    <x v="0"/>
  </r>
  <r>
    <s v="    22.5.1"/>
    <x v="2"/>
    <s v="21N"/>
    <x v="22"/>
    <s v="Empreiteiro - Instalação de Piso Vinilico"/>
    <n v="323.5"/>
    <s v="M²"/>
    <n v="25"/>
    <n v="8088"/>
    <x v="2"/>
  </r>
  <r>
    <n v="-23"/>
    <x v="0"/>
    <n v="23"/>
    <x v="0"/>
    <s v="PORTAS DE MADEIRA"/>
    <n v="80"/>
    <s v="UN"/>
    <n v="520"/>
    <n v="41600"/>
    <x v="0"/>
  </r>
  <r>
    <s v=" -23.1"/>
    <x v="1"/>
    <s v="03.02."/>
    <x v="23"/>
    <s v="Esquadrias de Madeira"/>
    <n v="80"/>
    <s v="UN"/>
    <n v="520"/>
    <n v="41600"/>
    <x v="0"/>
  </r>
  <r>
    <s v="    23.1.1"/>
    <x v="2"/>
    <s v="03.02.01."/>
    <x v="23"/>
    <s v="Porta interna de madeira 90 x 210"/>
    <n v="16"/>
    <s v="UN"/>
    <n v="500"/>
    <n v="8000"/>
    <x v="1"/>
  </r>
  <r>
    <s v="    23.1.2"/>
    <x v="2"/>
    <s v="03.02.02."/>
    <x v="23"/>
    <s v="Porta interna de madeira 70 x 210"/>
    <n v="48"/>
    <s v="UN"/>
    <n v="450"/>
    <n v="21600"/>
    <x v="1"/>
  </r>
  <r>
    <s v="    23.1.3"/>
    <x v="2"/>
    <s v="03.02.03."/>
    <x v="23"/>
    <s v="Porta interna de madeira 60 x 210"/>
    <n v="16"/>
    <s v="UN"/>
    <n v="350"/>
    <n v="5600"/>
    <x v="1"/>
  </r>
  <r>
    <s v="    23.1.4"/>
    <x v="2"/>
    <s v="03.02.05."/>
    <x v="23"/>
    <s v="MO Instalação de portas internas de madeira"/>
    <n v="80"/>
    <s v="UN"/>
    <n v="80"/>
    <n v="6400"/>
    <x v="2"/>
  </r>
  <r>
    <n v="-24"/>
    <x v="0"/>
    <n v="24"/>
    <x v="0"/>
    <s v="METAIS "/>
    <n v="96"/>
    <s v="TORRE"/>
    <n v="55.84"/>
    <n v="5360"/>
    <x v="0"/>
  </r>
  <r>
    <s v=" -24.1"/>
    <x v="1"/>
    <s v="09.04.01."/>
    <x v="24"/>
    <s v="Torneiras - Aquisição"/>
    <n v="48"/>
    <s v="TORRE"/>
    <n v="61.67"/>
    <n v="2960"/>
    <x v="0"/>
  </r>
  <r>
    <s v="    24.1.1"/>
    <x v="2"/>
    <n v="13415"/>
    <x v="24"/>
    <s v="Torneira cromada de mesa para lavatorio, padrao popular, 1/2 &quot; ou 3/4 &quot; (ref 1193)"/>
    <n v="32"/>
    <s v="UN"/>
    <n v="79.87"/>
    <n v="2556"/>
    <x v="1"/>
  </r>
  <r>
    <s v="    24.1.2"/>
    <x v="2"/>
    <n v="7604"/>
    <x v="24"/>
    <s v="Torneira cromada sem bico para tanque, padrao popular, 1/2 &quot; ou 3/4 &quot; (ref 1126)"/>
    <n v="16"/>
    <s v="UN"/>
    <n v="25.27"/>
    <n v="404"/>
    <x v="1"/>
  </r>
  <r>
    <s v=" -24.2"/>
    <x v="1"/>
    <s v="09.04.02."/>
    <x v="24"/>
    <s v="Torneiras - Instalação"/>
    <n v="48"/>
    <s v="TORRE"/>
    <n v="50"/>
    <n v="2400"/>
    <x v="0"/>
  </r>
  <r>
    <s v="    24.2.1"/>
    <x v="2"/>
    <s v="38N"/>
    <x v="24"/>
    <s v="Empreiteiro - Instalação das torneiras"/>
    <n v="48"/>
    <s v="UN"/>
    <n v="50"/>
    <n v="2400"/>
    <x v="2"/>
  </r>
  <r>
    <n v="-25"/>
    <x v="0"/>
    <n v="26"/>
    <x v="0"/>
    <s v="PINTURA FINAL"/>
    <n v="2458.25"/>
    <s v="M²"/>
    <n v="6"/>
    <n v="14750"/>
    <x v="0"/>
  </r>
  <r>
    <s v=" -25.1"/>
    <x v="1"/>
    <s v="08.01.02.03"/>
    <x v="25"/>
    <s v="Mão de Obra - Pintura Final"/>
    <n v="2458.25"/>
    <s v="M²"/>
    <n v="6"/>
    <n v="14750"/>
    <x v="0"/>
  </r>
  <r>
    <s v="    25.1.1"/>
    <x v="2"/>
    <s v="42N"/>
    <x v="25"/>
    <s v="Empreiteiro - Pintura Final"/>
    <n v="2458.25"/>
    <s v="M²"/>
    <n v="6"/>
    <n v="14750"/>
    <x v="2"/>
  </r>
  <r>
    <n v="-26"/>
    <x v="0"/>
    <n v="27"/>
    <x v="0"/>
    <s v="TELHADO "/>
    <n v="40"/>
    <s v="UN"/>
    <n v="1277.33"/>
    <n v="51093"/>
    <x v="0"/>
  </r>
  <r>
    <s v=" -26.1"/>
    <x v="1"/>
    <s v="05.01.01."/>
    <x v="26"/>
    <s v="Estrutura de Madeira - Material"/>
    <n v="20"/>
    <s v="UN"/>
    <n v="636.33000000000004"/>
    <n v="12727"/>
    <x v="0"/>
  </r>
  <r>
    <s v="    26.1.1"/>
    <x v="2"/>
    <n v="21142"/>
    <x v="26"/>
    <s v="Estribo com parafuso em chapa de ferro fundido de 2&quot; x 3/16&quot; x 35 cm, secao &quot;u&quot;, para madeiramento de telhado"/>
    <n v="20"/>
    <s v="UN"/>
    <n v="23.1"/>
    <n v="462"/>
    <x v="1"/>
  </r>
  <r>
    <s v="    26.1.2"/>
    <x v="2"/>
    <n v="39027"/>
    <x v="26"/>
    <s v="Prego de aço polido com cabeça 19  x 36 (3 1/4  x  9)"/>
    <n v="27"/>
    <s v="KG"/>
    <n v="21.68"/>
    <n v="585"/>
    <x v="1"/>
  </r>
  <r>
    <s v="    26.1.3"/>
    <x v="2"/>
    <n v="40552"/>
    <x v="26"/>
    <s v="Parafuso, auto atarrachante, cabeça chata, fenda simples, 1/4 (6,35 mm) x 25 mm"/>
    <n v="0.8"/>
    <s v="CENTO"/>
    <n v="30.95"/>
    <n v="25"/>
    <x v="1"/>
  </r>
  <r>
    <s v="    26.1.4"/>
    <x v="2"/>
    <n v="4400"/>
    <x v="26"/>
    <s v="Caibro nao aparelhado,  *6 x 8* cm,  em macaranduba, angelim ou equivalente da regiao -  bruta"/>
    <n v="100"/>
    <s v="M"/>
    <n v="12.65"/>
    <n v="1265"/>
    <x v="1"/>
  </r>
  <r>
    <s v="    26.1.5"/>
    <x v="2"/>
    <n v="4415"/>
    <x v="26"/>
    <s v="Sarrafo nao aparelhado 2,5 x 5 cm, em macaranduba, angelim ou equivalente da regiao -  bruta"/>
    <n v="50"/>
    <s v="M"/>
    <n v="3"/>
    <n v="150"/>
    <x v="1"/>
  </r>
  <r>
    <s v="    26.1.6"/>
    <x v="2"/>
    <n v="4425"/>
    <x v="26"/>
    <s v="Viga nao aparelhada  *6 x 12* cm, em macaranduba, angelim ou equivalente da regiao - bruta"/>
    <n v="540"/>
    <s v="M"/>
    <n v="16.809999999999999"/>
    <n v="9077"/>
    <x v="1"/>
  </r>
  <r>
    <s v="    26.1.7"/>
    <x v="2"/>
    <n v="5075"/>
    <x v="26"/>
    <s v="Prego de aço polido com cabeça 18 x 30 (2 3/4 x 10)"/>
    <n v="22.5"/>
    <s v="KG"/>
    <n v="21.7"/>
    <n v="488"/>
    <x v="1"/>
  </r>
  <r>
    <s v="    26.1.8"/>
    <x v="2"/>
    <n v="6193"/>
    <x v="26"/>
    <s v="Tabua  nao  aparelhada  *2,5 x 20* cm, em macaranduba, angelim ou equivalente da regiao - bruta"/>
    <n v="60"/>
    <s v="M"/>
    <n v="11.23"/>
    <n v="674"/>
    <x v="1"/>
  </r>
  <r>
    <s v=" -26.2"/>
    <x v="1"/>
    <s v="05.01.02."/>
    <x v="26"/>
    <s v="Estrutura de Madeira - Mão de Obra"/>
    <n v="20"/>
    <s v="UN"/>
    <n v="1000"/>
    <n v="20000"/>
    <x v="0"/>
  </r>
  <r>
    <s v="    26.2.1"/>
    <x v="2"/>
    <s v="11N"/>
    <x v="26"/>
    <s v="Empreiteiro Estrutura de Madeira "/>
    <n v="20"/>
    <s v="UN"/>
    <n v="1000"/>
    <n v="20000"/>
    <x v="2"/>
  </r>
  <r>
    <s v=" -26.3"/>
    <x v="1"/>
    <s v="05.02.01."/>
    <x v="26"/>
    <s v="Telhamento com telha ondulada - Material"/>
    <n v="243.7"/>
    <s v="M²"/>
    <n v="55.37"/>
    <n v="13493"/>
    <x v="0"/>
  </r>
  <r>
    <s v="    26.3.1"/>
    <x v="2"/>
    <n v="1607"/>
    <x v="26"/>
    <s v="Conjunto arruelas de vedacao 5/16&quot; para telha fibrocimento (uma arruela metalica e uma arruela PVC - conicas)"/>
    <n v="309.49"/>
    <s v="CJ"/>
    <n v="0.22"/>
    <n v="68"/>
    <x v="1"/>
  </r>
  <r>
    <s v="    26.3.2"/>
    <x v="2"/>
    <n v="4302"/>
    <x v="26"/>
    <s v="Parafuso zincado rosca soberba, cabeça sextavada, 5/16 &quot; x 250 mm, para fixacao de telha em madeira"/>
    <n v="309.49"/>
    <s v="UN"/>
    <n v="3.55"/>
    <n v="1099"/>
    <x v="1"/>
  </r>
  <r>
    <s v="    26.3.3"/>
    <x v="2"/>
    <n v="7194"/>
    <x v="26"/>
    <s v="Telha de fibrocimento ondulada e = 6 mm, de 2,44 x 1,10 m (sem amianto)"/>
    <n v="310.70999999999998"/>
    <s v="M²"/>
    <n v="39.67"/>
    <n v="12326"/>
    <x v="1"/>
  </r>
  <r>
    <s v=" -26.4"/>
    <x v="1"/>
    <s v="05.02.02."/>
    <x v="26"/>
    <s v="Telhamento com telha ondulada - Mão de Obra"/>
    <n v="243.7"/>
    <s v="M²"/>
    <n v="20"/>
    <n v="4874"/>
    <x v="0"/>
  </r>
  <r>
    <s v="    26.4.1"/>
    <x v="2"/>
    <s v="12N"/>
    <x v="26"/>
    <s v="Empreiteiro Telhamento com telha ondulada"/>
    <n v="243.7"/>
    <s v="M²"/>
    <n v="20"/>
    <n v="4874"/>
    <x v="2"/>
  </r>
  <r>
    <n v="-27"/>
    <x v="0"/>
    <n v="28"/>
    <x v="0"/>
    <s v="ALGEROSA + RUFOS"/>
    <n v="1"/>
    <s v="TORRE"/>
    <n v="10092.26"/>
    <n v="10092"/>
    <x v="0"/>
  </r>
  <r>
    <s v=" -27.1"/>
    <x v="1"/>
    <s v="05.03.01."/>
    <x v="27"/>
    <s v="Rufo - Material"/>
    <n v="75.180000000000007"/>
    <s v="M/M"/>
    <n v="54.52"/>
    <n v="4099"/>
    <x v="0"/>
  </r>
  <r>
    <s v="    27.1.1"/>
    <x v="2"/>
    <n v="13388"/>
    <x v="27"/>
    <s v="Solda em barra de estanho-chumbo 50/50"/>
    <n v="3.38"/>
    <s v="KG"/>
    <n v="216.55"/>
    <n v="733"/>
    <x v="1"/>
  </r>
  <r>
    <s v="    27.1.2"/>
    <x v="2"/>
    <n v="142"/>
    <x v="27"/>
    <s v="Selante elastico monocomponente a base de poliuretano (pu) para juntas diversas"/>
    <n v="14.89"/>
    <s v="310ML"/>
    <n v="26.42"/>
    <n v="393"/>
    <x v="1"/>
  </r>
  <r>
    <s v="    27.1.3"/>
    <x v="2"/>
    <n v="40873"/>
    <x v="27"/>
    <s v="Rufo interno/externo de chapa de aço galvanizada num 24, corte 25 cm"/>
    <n v="78.94"/>
    <s v="M"/>
    <n v="37.450000000000003"/>
    <n v="2956"/>
    <x v="1"/>
  </r>
  <r>
    <s v="    27.1.4"/>
    <x v="2"/>
    <n v="5061"/>
    <x v="27"/>
    <s v="Prego de aço polido com cabeça 18 x 27 (2 1/2 x 10)"/>
    <n v="0.45"/>
    <s v="KG"/>
    <n v="21.33"/>
    <n v="10"/>
    <x v="1"/>
  </r>
  <r>
    <s v="    27.1.5"/>
    <x v="2"/>
    <n v="5104"/>
    <x v="27"/>
    <s v="Rebite de aluminio vazado de repuxo, 3,2 x 8 mm (1kg = 1025 unidades)"/>
    <n v="0.09"/>
    <s v="KG"/>
    <n v="77.63"/>
    <n v="7"/>
    <x v="1"/>
  </r>
  <r>
    <s v=" -27.2"/>
    <x v="1"/>
    <s v="05.03.02."/>
    <x v="27"/>
    <s v="Calha - Material"/>
    <n v="37.590000000000003"/>
    <s v="M/M"/>
    <n v="92.94"/>
    <n v="3493"/>
    <x v="0"/>
  </r>
  <r>
    <s v="    27.2.1"/>
    <x v="2"/>
    <n v="13388"/>
    <x v="27"/>
    <s v="Solda em barra de estanho-chumbo 50/50"/>
    <n v="3.38"/>
    <s v="KG"/>
    <n v="216.55"/>
    <n v="733"/>
    <x v="1"/>
  </r>
  <r>
    <s v="    27.2.2"/>
    <x v="2"/>
    <s v="142(1)"/>
    <x v="27"/>
    <s v="Prego de aço polido com cabeça 18 x 27 (2 1/2 x 10)"/>
    <n v="0.49"/>
    <s v="KG"/>
    <n v="21.33"/>
    <n v="10"/>
    <x v="1"/>
  </r>
  <r>
    <s v="    27.2.3"/>
    <x v="2"/>
    <s v="40873(1)"/>
    <x v="27"/>
    <s v="Selante elastico monocomponente a base de poliuretano (pu) para juntas diversas"/>
    <n v="3.04"/>
    <s v="310ML"/>
    <n v="26.42"/>
    <n v="80"/>
    <x v="1"/>
  </r>
  <r>
    <s v="    27.2.4"/>
    <x v="2"/>
    <s v="5061(1)"/>
    <x v="27"/>
    <s v="Rebite de aluminio vazado de repuxo, 3,2 x 8 mm (1kg = 1025 unidades)"/>
    <n v="0.09"/>
    <s v="KG"/>
    <n v="77.63"/>
    <n v="7"/>
    <x v="1"/>
  </r>
  <r>
    <s v="    27.2.5"/>
    <x v="2"/>
    <s v="5104(1)"/>
    <x v="27"/>
    <s v="Calha quadrada de chapa de aço galvanizada num 24, corte 50 cm"/>
    <n v="39.47"/>
    <s v="M"/>
    <n v="67.47"/>
    <n v="2663"/>
    <x v="1"/>
  </r>
  <r>
    <s v=" -27.3"/>
    <x v="1"/>
    <s v="05.03.03."/>
    <x v="27"/>
    <s v="Rufo + Calha - Mão de Obra"/>
    <n v="1"/>
    <s v="TORRE"/>
    <n v="2500"/>
    <n v="2500"/>
    <x v="0"/>
  </r>
  <r>
    <s v="    27.3.1"/>
    <x v="2"/>
    <s v="10N"/>
    <x v="27"/>
    <s v="Empreiteiro instalação de rufo + calha"/>
    <n v="1"/>
    <s v="TORRE"/>
    <n v="2500"/>
    <n v="2500"/>
    <x v="2"/>
  </r>
  <r>
    <n v="-28"/>
    <x v="0"/>
    <n v="29"/>
    <x v="0"/>
    <s v="COMPLEMENTAçãO E LIMPEZA"/>
    <n v="1"/>
    <s v="TORRE"/>
    <n v="2000"/>
    <n v="2000"/>
    <x v="0"/>
  </r>
  <r>
    <s v="   28.1"/>
    <x v="2"/>
    <n v="10"/>
    <x v="28"/>
    <s v="COMPLEMENTAÇÃO E LIMPEZA"/>
    <n v="1"/>
    <s v="TORRE"/>
    <n v="2000"/>
    <n v="2000"/>
    <x v="2"/>
  </r>
  <r>
    <n v="-29"/>
    <x v="0"/>
    <n v="30"/>
    <x v="0"/>
    <s v="REBOCO EXTERNO"/>
    <n v="745.27"/>
    <s v="M²"/>
    <n v="111.23"/>
    <n v="82893"/>
    <x v="0"/>
  </r>
  <r>
    <s v=" -29.1"/>
    <x v="1"/>
    <s v="03.01.01."/>
    <x v="29"/>
    <s v="Esquadrias de Alumínio - Contramarcos"/>
    <n v="84"/>
    <s v="UN"/>
    <n v="200"/>
    <n v="16800"/>
    <x v="0"/>
  </r>
  <r>
    <s v="    29.1.1"/>
    <x v="2"/>
    <s v="03.01.01.01."/>
    <x v="29"/>
    <s v="Fornecimento de Contramarcos"/>
    <n v="84"/>
    <s v="UN"/>
    <n v="150"/>
    <n v="12600"/>
    <x v="1"/>
  </r>
  <r>
    <s v="    29.1.2"/>
    <x v="2"/>
    <s v="03.01.01.02."/>
    <x v="29"/>
    <s v="Instalação de Contramarcos"/>
    <n v="84"/>
    <s v="UN"/>
    <n v="50"/>
    <n v="4200"/>
    <x v="2"/>
  </r>
  <r>
    <s v=" -29.2"/>
    <x v="1"/>
    <s v="06.05.01."/>
    <x v="29"/>
    <s v="Revestimento de Basalto - Peitoril - Material"/>
    <n v="238.08"/>
    <s v="M"/>
    <n v="81.05"/>
    <n v="19296"/>
    <x v="0"/>
  </r>
  <r>
    <s v="    29.2.1"/>
    <x v="2"/>
    <n v="34747"/>
    <x v="29"/>
    <s v="Peitoril em marmore, polido, branco comum, l= *15* cm, e=  *2,0* cm, com pingadeira"/>
    <n v="247.61"/>
    <s v="M"/>
    <n v="77.930000000000007"/>
    <n v="19296"/>
    <x v="1"/>
  </r>
  <r>
    <s v=" -29.3"/>
    <x v="1"/>
    <s v="06.05.02."/>
    <x v="29"/>
    <s v="Revestimento de Basalto - Peitoril - Mão de Obra"/>
    <n v="238.08"/>
    <s v="M"/>
    <n v="15"/>
    <n v="3571"/>
    <x v="0"/>
  </r>
  <r>
    <s v="    29.3.1"/>
    <x v="2"/>
    <s v="18N"/>
    <x v="29"/>
    <s v="Empreiteiro - Instalação de Peitoril"/>
    <n v="238.08"/>
    <s v="M"/>
    <n v="15"/>
    <n v="3571"/>
    <x v="2"/>
  </r>
  <r>
    <s v=" -29.4"/>
    <x v="1"/>
    <s v="07.01.01"/>
    <x v="29"/>
    <s v="Reboco Externo - Argamassa"/>
    <n v="37263.26"/>
    <s v="KG"/>
    <n v="0.66"/>
    <n v="24594"/>
    <x v="0"/>
  </r>
  <r>
    <s v="    29.4.1"/>
    <x v="2"/>
    <n v="371"/>
    <x v="29"/>
    <s v="Argamassa Industrialziada "/>
    <n v="44715.91"/>
    <s v="KG"/>
    <n v="0.55000000000000004"/>
    <n v="24594"/>
    <x v="1"/>
  </r>
  <r>
    <s v=" -29.5"/>
    <x v="1"/>
    <s v="07.01.02"/>
    <x v="29"/>
    <s v="Reboco Externo - Mão de Obra"/>
    <n v="745.27"/>
    <s v="M²"/>
    <n v="25"/>
    <n v="18632"/>
    <x v="0"/>
  </r>
  <r>
    <s v="    29.5.1"/>
    <x v="2"/>
    <s v="22N"/>
    <x v="29"/>
    <s v="Empreiteiro - Execução de Reboco Externo"/>
    <n v="745.27"/>
    <s v="M²"/>
    <n v="25"/>
    <n v="18632"/>
    <x v="2"/>
  </r>
  <r>
    <n v="-30"/>
    <x v="0"/>
    <n v="31"/>
    <x v="0"/>
    <s v="PINTURA EXTERNA"/>
    <n v="745.27"/>
    <s v="M²/M²"/>
    <n v="49.71"/>
    <n v="37045"/>
    <x v="0"/>
  </r>
  <r>
    <s v=" -30.1"/>
    <x v="1"/>
    <s v="08.02.01.01."/>
    <x v="30"/>
    <s v="Pintura Externa - Selador"/>
    <n v="119.24"/>
    <s v="L"/>
    <n v="6.09"/>
    <n v="726"/>
    <x v="0"/>
  </r>
  <r>
    <s v="    30.1.1"/>
    <x v="2"/>
    <n v="6085"/>
    <x v="30"/>
    <s v="Selador acrilico paredes internas/externas"/>
    <n v="119.24"/>
    <s v="L"/>
    <n v="6.09"/>
    <n v="726"/>
    <x v="1"/>
  </r>
  <r>
    <s v=" -30.2"/>
    <x v="1"/>
    <s v="08.02.01.02."/>
    <x v="30"/>
    <s v="Pintura Externa - Textura"/>
    <n v="1444.32"/>
    <s v="KG"/>
    <n v="7.86"/>
    <n v="11352"/>
    <x v="0"/>
  </r>
  <r>
    <s v="    30.2.1"/>
    <x v="2"/>
    <n v="38877"/>
    <x v="30"/>
    <s v="Massa para textura lisa de base acrilica, uso interno e externo"/>
    <n v="1444.32"/>
    <s v="KG"/>
    <n v="7.86"/>
    <n v="11352"/>
    <x v="1"/>
  </r>
  <r>
    <s v=" -30.3"/>
    <x v="1"/>
    <s v="08.02.01.03."/>
    <x v="30"/>
    <s v="Pintura Externa - Tinta Acrílica Verde - 2 demão"/>
    <n v="372.63"/>
    <s v="L"/>
    <n v="27"/>
    <n v="10061"/>
    <x v="0"/>
  </r>
  <r>
    <s v="    30.3.1"/>
    <x v="2"/>
    <s v="7356a"/>
    <x v="30"/>
    <s v="Tinta acrilica premium, cor verde"/>
    <n v="372.63"/>
    <s v="L"/>
    <n v="27"/>
    <n v="10061"/>
    <x v="1"/>
  </r>
  <r>
    <s v=" -30.4"/>
    <x v="3"/>
    <s v="08.02.02.01."/>
    <x v="30"/>
    <s v="Mão de Obra - Pintura Externa (Selador+Textura+2demão)"/>
    <n v="745.27"/>
    <s v="M²/M²"/>
    <n v="20"/>
    <n v="14905"/>
    <x v="0"/>
  </r>
  <r>
    <s v="    30.4.1"/>
    <x v="2"/>
    <s v="25N"/>
    <x v="30"/>
    <s v="Empreiteiro - Pintura Externa (Selador+Textura+2demão)"/>
    <n v="745.27"/>
    <s v="M²"/>
    <n v="20"/>
    <n v="14905"/>
    <x v="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">
  <r>
    <s v="GRUPO"/>
    <x v="0"/>
    <n v="1"/>
    <s v="Edificação (Vico ou Orçafascio)"/>
    <s v="Edificação (Vico ou Orçafascio)"/>
    <m/>
    <m/>
    <m/>
    <n v="1534647.0000000002"/>
    <m/>
    <x v="0"/>
    <m/>
    <m/>
  </r>
  <r>
    <s v="GRUPO"/>
    <x v="1"/>
    <n v="2"/>
    <s v="EQUIPAMENTOS E FERRAMENTAS"/>
    <s v="EQUIPAMENTOS E FERRAMENTAS"/>
    <m/>
    <m/>
    <m/>
    <n v="37200"/>
    <m/>
    <x v="1"/>
    <m/>
    <m/>
  </r>
  <r>
    <m/>
    <x v="1"/>
    <s v="2.1"/>
    <s v="EQUIPAMENTOS E FERRAMENTAS"/>
    <s v="ESCAVAÇÃO"/>
    <m/>
    <m/>
    <m/>
    <n v="11000"/>
    <m/>
    <x v="1"/>
    <m/>
    <m/>
  </r>
  <r>
    <m/>
    <x v="0"/>
    <s v="2.1.1"/>
    <s v="EQUIPAMENTOS E FERRAMENTAS"/>
    <s v="Locação de Retroescavadeira "/>
    <s v="mês"/>
    <n v="1"/>
    <n v="11000"/>
    <n v="11000"/>
    <s v="Variável"/>
    <x v="2"/>
    <s v="Processo"/>
    <s v="Locação até Contrapiso"/>
  </r>
  <r>
    <m/>
    <x v="0"/>
    <s v="2.1.2"/>
    <s v="EQUIPAMENTOS E FERRAMENTAS"/>
    <s v="Locação de Bobcat"/>
    <s v="mês"/>
    <n v="0"/>
    <n v="0"/>
    <n v="0"/>
    <s v="Variável"/>
    <x v="2"/>
    <s v="Processo"/>
    <m/>
  </r>
  <r>
    <m/>
    <x v="1"/>
    <s v="2.2"/>
    <s v="EQUIPAMENTOS E FERRAMENTAS"/>
    <s v="ANDAIME FACHADEIRO"/>
    <m/>
    <m/>
    <m/>
    <n v="14000"/>
    <m/>
    <x v="1"/>
    <m/>
    <m/>
  </r>
  <r>
    <m/>
    <x v="0"/>
    <s v="2.2.2"/>
    <s v="EQUIPAMENTOS E FERRAMENTAS"/>
    <s v="Andaime Fachadeiro - Montagem + Frete"/>
    <s v="evento"/>
    <n v="1"/>
    <n v="1000"/>
    <n v="1000"/>
    <s v="Fixo"/>
    <x v="3"/>
    <s v="Processo"/>
    <s v="Alvenaria Estrutural/Reboco Externo"/>
  </r>
  <r>
    <m/>
    <x v="0"/>
    <s v="2.2.3"/>
    <s v="EQUIPAMENTOS E FERRAMENTAS"/>
    <s v="Andaime Fachadeiro - Locação"/>
    <s v="mês"/>
    <n v="4"/>
    <n v="3000"/>
    <n v="12000"/>
    <s v="Variável"/>
    <x v="2"/>
    <s v="Processo"/>
    <s v="Alvenaria Estrutural/Reboco Externo"/>
  </r>
  <r>
    <m/>
    <x v="0"/>
    <s v="2.2.4"/>
    <s v="EQUIPAMENTOS E FERRAMENTAS"/>
    <s v="Andaime Fachadeiro - Desmontagem + Frete"/>
    <s v="evento"/>
    <n v="1"/>
    <n v="1000"/>
    <n v="1000"/>
    <s v="Fixo"/>
    <x v="4"/>
    <s v="Processo"/>
    <s v="Reboco Externo"/>
  </r>
  <r>
    <m/>
    <x v="1"/>
    <s v="2.3"/>
    <s v="EQUIPAMENTOS E FERRAMENTAS"/>
    <s v="TRANSPORTE HORIZONTAL E VERTICAL"/>
    <m/>
    <m/>
    <m/>
    <n v="9000"/>
    <m/>
    <x v="1"/>
    <m/>
    <m/>
  </r>
  <r>
    <m/>
    <x v="0"/>
    <s v="2.3.1"/>
    <s v="EQUIPAMENTOS E FERRAMENTAS"/>
    <s v="Locação de Caminhão Munck"/>
    <s v="mês"/>
    <n v="6"/>
    <n v="1500"/>
    <n v="9000"/>
    <s v="Variável"/>
    <x v="2"/>
    <s v="Processo"/>
    <s v="até Gesso Liso"/>
  </r>
  <r>
    <m/>
    <x v="0"/>
    <s v="2.3.2"/>
    <s v="EQUIPAMENTOS E FERRAMENTAS"/>
    <s v="Locação de Skytrack"/>
    <s v="mês"/>
    <n v="0"/>
    <n v="0"/>
    <n v="0"/>
    <s v="Variável"/>
    <x v="2"/>
    <s v="Processo"/>
    <m/>
  </r>
  <r>
    <m/>
    <x v="1"/>
    <s v="2.4"/>
    <s v="EQUIPAMENTOS E FERRAMENTAS"/>
    <s v="ELEVADOR CREMALHEIRA"/>
    <m/>
    <m/>
    <m/>
    <n v="0"/>
    <m/>
    <x v="1"/>
    <m/>
    <m/>
  </r>
  <r>
    <m/>
    <x v="0"/>
    <s v="2.4.1"/>
    <s v="EQUIPAMENTOS E FERRAMENTAS"/>
    <s v="Elevador Cremalheira - Mobilização"/>
    <s v="evento"/>
    <n v="0"/>
    <n v="0"/>
    <n v="0"/>
    <s v="Fixo"/>
    <x v="3"/>
    <s v="Processo"/>
    <m/>
  </r>
  <r>
    <m/>
    <x v="0"/>
    <s v="2.4.2"/>
    <s v="EQUIPAMENTOS E FERRAMENTAS"/>
    <s v="Elevador Cremalheira - Locação "/>
    <s v="mês"/>
    <n v="0"/>
    <n v="0"/>
    <n v="0"/>
    <s v="Variável"/>
    <x v="2"/>
    <s v="Processo"/>
    <m/>
  </r>
  <r>
    <m/>
    <x v="0"/>
    <s v="2.4.3"/>
    <s v="EQUIPAMENTOS E FERRAMENTAS"/>
    <s v="Elevador Cremalheira - Desmobilização"/>
    <s v="evento"/>
    <n v="0"/>
    <n v="0"/>
    <n v="0"/>
    <s v="Fixo"/>
    <x v="4"/>
    <s v="Processo"/>
    <m/>
  </r>
  <r>
    <m/>
    <x v="1"/>
    <s v="2.5"/>
    <s v="EQUIPAMENTOS E FERRAMENTAS"/>
    <s v="BALANCIM"/>
    <m/>
    <m/>
    <m/>
    <n v="2300"/>
    <m/>
    <x v="1"/>
    <m/>
    <m/>
  </r>
  <r>
    <m/>
    <x v="0"/>
    <s v="2.5.1"/>
    <s v="EQUIPAMENTOS E FERRAMENTAS"/>
    <s v="Andaime suspenso elétrico (balancim) - Locação"/>
    <s v="mês"/>
    <n v="2"/>
    <n v="500"/>
    <n v="1000"/>
    <s v="Variável"/>
    <x v="2"/>
    <s v="Processo"/>
    <s v="Pintura Externa"/>
  </r>
  <r>
    <m/>
    <x v="0"/>
    <s v="2.5.2"/>
    <s v="EQUIPAMENTOS E FERRAMENTAS"/>
    <s v="Andaime suspenso elétrico (balancim) - Troca de Fachada"/>
    <s v="evento"/>
    <n v="11"/>
    <n v="100"/>
    <n v="1100"/>
    <s v="Fixo"/>
    <x v="3"/>
    <s v="Processo"/>
    <s v="Pintura Externa"/>
  </r>
  <r>
    <m/>
    <x v="0"/>
    <s v="2.5.3"/>
    <s v="EQUIPAMENTOS E FERRAMENTAS"/>
    <s v="Andaime suspenso elétrico (balancim) - Montagem "/>
    <s v="evento"/>
    <n v="1"/>
    <n v="100"/>
    <n v="100"/>
    <s v="Fixo"/>
    <x v="3"/>
    <s v="Processo"/>
    <s v="Pintura Externa"/>
  </r>
  <r>
    <m/>
    <x v="0"/>
    <s v="2.5.4"/>
    <s v="EQUIPAMENTOS E FERRAMENTAS"/>
    <s v="Andaime suspenso elétrico (balancim) - Desmontagem"/>
    <s v="evento"/>
    <n v="1"/>
    <n v="100"/>
    <n v="100"/>
    <s v="Fixo"/>
    <x v="4"/>
    <s v="Processo"/>
    <s v="Pintura Externa"/>
  </r>
  <r>
    <m/>
    <x v="1"/>
    <s v="2.6"/>
    <s v="EQUIPAMENTOS E FERRAMENTAS"/>
    <s v="LOCAÇÃO DE EQUIPAMENTOS GERAIS"/>
    <m/>
    <m/>
    <m/>
    <n v="900"/>
    <m/>
    <x v="1"/>
    <m/>
    <m/>
  </r>
  <r>
    <m/>
    <x v="0"/>
    <s v="2.6.1"/>
    <s v="EQUIPAMENTOS E FERRAMENTAS"/>
    <s v="Locação de Escoras Metálicas"/>
    <s v="mês"/>
    <n v="2"/>
    <n v="150"/>
    <n v="300"/>
    <s v="Variável"/>
    <x v="2"/>
    <s v="Processo"/>
    <s v="Estrutura Moldado in Loco"/>
  </r>
  <r>
    <m/>
    <x v="0"/>
    <s v="2.6.2"/>
    <s v="EQUIPAMENTOS E FERRAMENTAS"/>
    <s v="Locação de Lava Jato"/>
    <s v="mês"/>
    <m/>
    <m/>
    <m/>
    <s v="Variável"/>
    <x v="2"/>
    <s v="Processo"/>
    <m/>
  </r>
  <r>
    <m/>
    <x v="0"/>
    <s v="2.6.3"/>
    <s v="EQUIPAMENTOS E FERRAMENTAS"/>
    <s v="Locação de Betoneira"/>
    <s v="mês"/>
    <m/>
    <m/>
    <m/>
    <s v="Variável"/>
    <x v="2"/>
    <s v="Processo"/>
    <m/>
  </r>
  <r>
    <m/>
    <x v="0"/>
    <s v="2.6.4"/>
    <s v="EQUIPAMENTOS E FERRAMENTAS"/>
    <s v="Locação de Serra circular"/>
    <s v="mês"/>
    <n v="3"/>
    <n v="200"/>
    <n v="600"/>
    <s v="Variável"/>
    <x v="2"/>
    <s v="Processo"/>
    <s v="Fundação - Estrutura Moldado in Loco"/>
  </r>
  <r>
    <m/>
    <x v="0"/>
    <s v="2.6.5"/>
    <s v="EQUIPAMENTOS E FERRAMENTAS"/>
    <s v="Locação de Bomba de recalque e submersa"/>
    <s v="mês"/>
    <m/>
    <m/>
    <m/>
    <s v="Variável"/>
    <x v="2"/>
    <s v="Processo"/>
    <m/>
  </r>
  <r>
    <m/>
    <x v="0"/>
    <s v="2.6.6"/>
    <s v="EQUIPAMENTOS E FERRAMENTAS"/>
    <s v="Locação de Martelo Rompedor "/>
    <s v="mês"/>
    <m/>
    <m/>
    <m/>
    <s v="Variável"/>
    <x v="2"/>
    <s v="Processo"/>
    <m/>
  </r>
  <r>
    <m/>
    <x v="1"/>
    <s v="2.7"/>
    <s v="EQUIPAMENTOS E FERRAMENTAS"/>
    <s v="AQUISIÇÃO DE EQUIPAMENTOS GERAIS"/>
    <m/>
    <m/>
    <m/>
    <n v="0"/>
    <m/>
    <x v="1"/>
    <m/>
    <m/>
  </r>
  <r>
    <m/>
    <x v="0"/>
    <s v="2.7.1"/>
    <s v="EQUIPAMENTOS E FERRAMENTAS"/>
    <s v="Aquisição de Lava Jato"/>
    <s v="und"/>
    <m/>
    <m/>
    <m/>
    <s v="Fixo"/>
    <x v="3"/>
    <s v="Processo"/>
    <m/>
  </r>
  <r>
    <m/>
    <x v="0"/>
    <s v="2.7.2"/>
    <s v="EQUIPAMENTOS E FERRAMENTAS"/>
    <s v="Aquisição de Betoneira"/>
    <s v="und"/>
    <m/>
    <m/>
    <m/>
    <s v="Fixo"/>
    <x v="3"/>
    <s v="Processo"/>
    <m/>
  </r>
  <r>
    <m/>
    <x v="0"/>
    <s v="2.7.3"/>
    <s v="EQUIPAMENTOS E FERRAMENTAS"/>
    <s v="Aquisição de Serra circular"/>
    <s v="und"/>
    <m/>
    <m/>
    <m/>
    <s v="Fixo"/>
    <x v="3"/>
    <s v="Processo"/>
    <m/>
  </r>
  <r>
    <m/>
    <x v="0"/>
    <s v="2.7.4"/>
    <s v="EQUIPAMENTOS E FERRAMENTAS"/>
    <s v="Aquisição de Bomba de recalque e submersa"/>
    <s v="und"/>
    <m/>
    <m/>
    <m/>
    <s v="Fixo"/>
    <x v="3"/>
    <s v="Processo"/>
    <m/>
  </r>
  <r>
    <m/>
    <x v="0"/>
    <s v="2.7.5"/>
    <s v="EQUIPAMENTOS E FERRAMENTAS"/>
    <s v="Aquisição de Martelo Rompedor "/>
    <s v="und"/>
    <m/>
    <m/>
    <m/>
    <s v="Fixo"/>
    <x v="3"/>
    <s v="Processo"/>
    <m/>
  </r>
  <r>
    <m/>
    <x v="1"/>
    <s v="2.8"/>
    <s v="EQUIPAMENTOS E FERRAMENTAS"/>
    <s v="AQUISIÇÃO DE FERRAMENTAS"/>
    <m/>
    <m/>
    <m/>
    <n v="0"/>
    <m/>
    <x v="1"/>
    <m/>
    <m/>
  </r>
  <r>
    <m/>
    <x v="0"/>
    <s v="2.8.1"/>
    <s v="EQUIPAMENTOS E FERRAMENTAS"/>
    <s v="Carrinho de Mão"/>
    <s v="und"/>
    <m/>
    <m/>
    <m/>
    <s v="Fixo"/>
    <x v="3"/>
    <s v="Processo"/>
    <m/>
  </r>
  <r>
    <m/>
    <x v="0"/>
    <s v="2.8.2"/>
    <s v="EQUIPAMENTOS E FERRAMENTAS"/>
    <s v="Nível à Laser"/>
    <s v="und"/>
    <m/>
    <m/>
    <m/>
    <s v="Fixo"/>
    <x v="3"/>
    <s v="Processo"/>
    <m/>
  </r>
  <r>
    <s v="GRUPO"/>
    <x v="1"/>
    <n v="3"/>
    <s v="INSTALAÇÕES PROVISÓRIAS E CONSUMOS"/>
    <s v="INSTALAÇÕES PROVISÓRIAS E CONSUMOS"/>
    <m/>
    <m/>
    <m/>
    <n v="70520"/>
    <m/>
    <x v="1"/>
    <m/>
    <m/>
  </r>
  <r>
    <m/>
    <x v="1"/>
    <s v="3.1"/>
    <s v="INSTALAÇÕES PROVISÓRIAS E CONSUMOS"/>
    <s v="CONSTRUÇÃO DAS INSTALAÇÕES PROVISÓRIAS"/>
    <m/>
    <m/>
    <m/>
    <n v="18500"/>
    <m/>
    <x v="1"/>
    <m/>
    <m/>
  </r>
  <r>
    <m/>
    <x v="0"/>
    <s v="3.1.1"/>
    <s v="INSTALAÇÕES PROVISÓRIAS E CONSUMOS"/>
    <s v="Limpeza do terreno (em frente do empreendimento)"/>
    <s v="vb"/>
    <n v="1"/>
    <n v="500"/>
    <n v="500"/>
    <s v="Fixo"/>
    <x v="3"/>
    <s v="Evento"/>
    <s v="Mobilização do Canteiro"/>
  </r>
  <r>
    <m/>
    <x v="0"/>
    <s v="3.1.2"/>
    <s v="INSTALAÇÕES PROVISÓRIAS E CONSUMOS"/>
    <s v="Tapume da obra"/>
    <s v="vb"/>
    <n v="1"/>
    <n v="1000"/>
    <n v="1000"/>
    <s v="Fixo"/>
    <x v="3"/>
    <s v="Evento"/>
    <s v="Mobilização do Canteiro"/>
  </r>
  <r>
    <m/>
    <x v="0"/>
    <s v="3.1.3"/>
    <s v="INSTALAÇÕES PROVISÓRIAS E CONSUMOS"/>
    <s v="Construção das instalações provisórias (escritório/refeitório/almoxarifado) - material"/>
    <s v="vb"/>
    <n v="1"/>
    <n v="5000"/>
    <n v="5000"/>
    <s v="Fixo"/>
    <x v="3"/>
    <s v="Evento"/>
    <s v="Mobilização do Canteiro"/>
  </r>
  <r>
    <m/>
    <x v="0"/>
    <s v="3.1.4"/>
    <s v="INSTALAÇÕES PROVISÓRIAS E CONSUMOS"/>
    <s v="Construção das instalações provisórias (escritório/refeitório/almoxarifado) - mão de obra"/>
    <s v="vb"/>
    <n v="1"/>
    <n v="1000"/>
    <n v="1000"/>
    <s v="Fixo"/>
    <x v="3"/>
    <s v="Evento"/>
    <s v="Mobilização do Canteiro"/>
  </r>
  <r>
    <m/>
    <x v="0"/>
    <s v="3.1.5"/>
    <s v="INSTALAÇÕES PROVISÓRIAS E CONSUMOS"/>
    <s v="Instalações elétricas provisórias canteiro - material"/>
    <s v="vb"/>
    <n v="1"/>
    <n v="500"/>
    <n v="500"/>
    <s v="Fixo"/>
    <x v="3"/>
    <s v="Evento"/>
    <s v="Mobilização do Canteiro"/>
  </r>
  <r>
    <m/>
    <x v="0"/>
    <s v="3.1.6"/>
    <s v="INSTALAÇÕES PROVISÓRIAS E CONSUMOS"/>
    <s v="Instalações elétricas provisórias canteiro - mão de obra"/>
    <s v="vb"/>
    <n v="1"/>
    <n v="500"/>
    <n v="500"/>
    <s v="Fixo"/>
    <x v="3"/>
    <s v="Evento"/>
    <s v="Mobilização do Canteiro"/>
  </r>
  <r>
    <m/>
    <x v="0"/>
    <s v="3.1.7"/>
    <s v="INSTALAÇÕES PROVISÓRIAS E CONSUMOS"/>
    <s v="Aquisição de mobiliário para escritório e refeitório"/>
    <s v="vb"/>
    <n v="1"/>
    <n v="2500"/>
    <n v="2500"/>
    <s v="Fixo"/>
    <x v="3"/>
    <s v="Evento"/>
    <s v="Mobilização do Canteiro"/>
  </r>
  <r>
    <m/>
    <x v="0"/>
    <s v="3.1.8"/>
    <s v="INSTALAÇÕES PROVISÓRIAS E CONSUMOS"/>
    <s v="Aquisição de equipamentos de informatica e telefonia"/>
    <s v="vb"/>
    <n v="1"/>
    <n v="5000"/>
    <n v="5000"/>
    <s v="Fixo"/>
    <x v="3"/>
    <s v="Evento"/>
    <s v="Mobilização do Canteiro"/>
  </r>
  <r>
    <m/>
    <x v="0"/>
    <s v="3.1.9"/>
    <s v="INSTALAÇÕES PROVISÓRIAS E CONSUMOS"/>
    <s v="Frete para importação de materiais de outras obras"/>
    <s v="vb"/>
    <n v="1"/>
    <n v="500"/>
    <n v="500"/>
    <s v="Fixo"/>
    <x v="3"/>
    <s v="Evento"/>
    <s v="Mobilização do Canteiro"/>
  </r>
  <r>
    <m/>
    <x v="0"/>
    <s v="3.1.10"/>
    <s v="INSTALAÇÕES PROVISÓRIAS E CONSUMOS"/>
    <s v="Bases de concreto armado  (silo, elevador cremalheira, carpintaria)"/>
    <s v="vb"/>
    <n v="1"/>
    <n v="500"/>
    <n v="500"/>
    <s v="Fixo"/>
    <x v="3"/>
    <s v="Evento"/>
    <s v="Mobilização do Canteiro"/>
  </r>
  <r>
    <m/>
    <x v="0"/>
    <s v="3.1.11"/>
    <s v="INSTALAÇÕES PROVISÓRIAS E CONSUMOS"/>
    <s v="Desmobilização do canteiro de obras"/>
    <s v="vb"/>
    <n v="1"/>
    <n v="1000"/>
    <n v="1000"/>
    <s v="Fixo"/>
    <x v="4"/>
    <s v="Evento"/>
    <s v="Desmobilização do Canteiro"/>
  </r>
  <r>
    <m/>
    <x v="0"/>
    <s v="3.1.12"/>
    <s v="INSTALAÇÕES PROVISÓRIAS E CONSUMOS"/>
    <s v="Rachão - Acesso"/>
    <s v="vb"/>
    <n v="1"/>
    <n v="250"/>
    <n v="250"/>
    <s v="Fixo"/>
    <x v="3"/>
    <s v="Evento"/>
    <s v="Mobilização do Canteiro"/>
  </r>
  <r>
    <m/>
    <x v="0"/>
    <s v="3.1.13"/>
    <s v="INSTALAÇÕES PROVISÓRIAS E CONSUMOS"/>
    <s v="Placa de Obra"/>
    <s v="vb"/>
    <n v="1"/>
    <n v="250"/>
    <n v="250"/>
    <s v="Fixo"/>
    <x v="3"/>
    <s v="Evento"/>
    <s v="Mobilização do Canteiro"/>
  </r>
  <r>
    <m/>
    <x v="1"/>
    <s v="3.2"/>
    <s v="INSTALAÇÕES PROVISÓRIAS E CONSUMOS"/>
    <s v="LIMPEZA DA OBRA"/>
    <m/>
    <m/>
    <m/>
    <n v="3550"/>
    <m/>
    <x v="1"/>
    <m/>
    <m/>
  </r>
  <r>
    <m/>
    <x v="0"/>
    <s v="3.2.1"/>
    <s v="INSTALAÇÕES PROVISÓRIAS E CONSUMOS"/>
    <s v="Locação de entulho "/>
    <s v="mês"/>
    <n v="11"/>
    <n v="300"/>
    <n v="3300"/>
    <s v="Variável"/>
    <x v="5"/>
    <s v="Total"/>
    <s v="prazo total"/>
  </r>
  <r>
    <m/>
    <x v="0"/>
    <s v="3.2.2"/>
    <s v="INSTALAÇÕES PROVISÓRIAS E CONSUMOS"/>
    <s v="Dutos para retirada de entulhos"/>
    <s v="vb"/>
    <n v="1"/>
    <n v="250"/>
    <n v="250"/>
    <s v="Fixo"/>
    <x v="3"/>
    <s v="Processo"/>
    <s v="Gesso Liso"/>
  </r>
  <r>
    <m/>
    <x v="1"/>
    <s v="3.3"/>
    <s v="INSTALAÇÕES PROVISÓRIAS E CONSUMOS"/>
    <s v="DESPESAS MENSAIS"/>
    <m/>
    <m/>
    <m/>
    <n v="7370"/>
    <m/>
    <x v="1"/>
    <m/>
    <m/>
  </r>
  <r>
    <m/>
    <x v="0"/>
    <s v="3.3.1"/>
    <s v="INSTALAÇÕES PROVISÓRIAS E CONSUMOS"/>
    <s v="Aluguel de container sanitário"/>
    <s v="mês"/>
    <n v="11"/>
    <n v="150"/>
    <n v="1650"/>
    <s v="Variável"/>
    <x v="5"/>
    <s v="Total"/>
    <s v="prazo total"/>
  </r>
  <r>
    <m/>
    <x v="0"/>
    <s v="3.3.2"/>
    <s v="INSTALAÇÕES PROVISÓRIAS E CONSUMOS"/>
    <s v="Material de escritorio de obra (expediente)"/>
    <s v="mês"/>
    <n v="11"/>
    <n v="50"/>
    <n v="550"/>
    <s v="Variável"/>
    <x v="5"/>
    <s v="Total"/>
    <s v="prazo total"/>
  </r>
  <r>
    <m/>
    <x v="0"/>
    <s v="3.3.4"/>
    <s v="INSTALAÇÕES PROVISÓRIAS E CONSUMOS"/>
    <s v="Despesas com Farmácia"/>
    <s v="mês"/>
    <n v="11"/>
    <n v="50"/>
    <n v="550"/>
    <s v="Variável"/>
    <x v="5"/>
    <s v="Total"/>
    <s v="prazo total"/>
  </r>
  <r>
    <m/>
    <x v="0"/>
    <s v="3.3.5"/>
    <s v="INSTALAÇÕES PROVISÓRIAS E CONSUMOS"/>
    <s v="Conta de Água"/>
    <s v="mês"/>
    <n v="11"/>
    <n v="80"/>
    <n v="880"/>
    <s v="Variável"/>
    <x v="5"/>
    <s v="Total"/>
    <s v="prazo total"/>
  </r>
  <r>
    <m/>
    <x v="0"/>
    <s v="3.3.6"/>
    <s v="INSTALAÇÕES PROVISÓRIAS E CONSUMOS"/>
    <s v="Conta de Luz"/>
    <s v="mês"/>
    <n v="11"/>
    <n v="80"/>
    <n v="880"/>
    <s v="Variável"/>
    <x v="5"/>
    <s v="Total"/>
    <s v="prazo total"/>
  </r>
  <r>
    <m/>
    <x v="0"/>
    <s v="3.3.7"/>
    <s v="INSTALAÇÕES PROVISÓRIAS E CONSUMOS"/>
    <s v="Contas de Telefone e Internet"/>
    <s v="mês"/>
    <n v="11"/>
    <n v="80"/>
    <n v="880"/>
    <s v="Variável"/>
    <x v="5"/>
    <s v="Total"/>
    <s v="prazo total"/>
  </r>
  <r>
    <m/>
    <x v="0"/>
    <s v="3.3.8"/>
    <s v="INSTALAÇÕES PROVISÓRIAS E CONSUMOS"/>
    <s v="Locação gerador"/>
    <s v="mês"/>
    <n v="0"/>
    <n v="0"/>
    <n v="0"/>
    <s v="Variável"/>
    <x v="5"/>
    <s v="Total"/>
    <s v="prazo total"/>
  </r>
  <r>
    <m/>
    <x v="0"/>
    <s v="3.3.9"/>
    <s v="INSTALAÇÕES PROVISÓRIAS E CONSUMOS"/>
    <s v="Plotagem de projetos"/>
    <s v="mês"/>
    <n v="11"/>
    <n v="100"/>
    <n v="1100"/>
    <s v="Variável"/>
    <x v="5"/>
    <s v="Total"/>
    <s v="prazo total"/>
  </r>
  <r>
    <m/>
    <x v="0"/>
    <s v="3.3.10"/>
    <s v="INSTALAÇÕES PROVISÓRIAS E CONSUMOS"/>
    <s v="Motoboy"/>
    <s v="mês"/>
    <n v="11"/>
    <n v="80"/>
    <n v="880"/>
    <s v="Variável"/>
    <x v="5"/>
    <s v="Total"/>
    <s v="prazo total"/>
  </r>
  <r>
    <m/>
    <x v="1"/>
    <s v="3.4"/>
    <s v="INSTALAÇÕES PROVISÓRIAS E CONSUMOS"/>
    <s v="SEGURANÇA PATRIMONIAL "/>
    <m/>
    <m/>
    <m/>
    <n v="12000"/>
    <m/>
    <x v="1"/>
    <m/>
    <m/>
  </r>
  <r>
    <m/>
    <x v="0"/>
    <s v="3.4.1"/>
    <s v="INSTALAÇÕES PROVISÓRIAS E CONSUMOS"/>
    <s v="Custo mensal da Vigilância Terceirizada"/>
    <s v="mês"/>
    <n v="11"/>
    <n v="1000"/>
    <n v="11000"/>
    <s v="Variável"/>
    <x v="5"/>
    <s v="Total"/>
    <s v="prazo total"/>
  </r>
  <r>
    <m/>
    <x v="0"/>
    <s v="3.4.2"/>
    <s v="INSTALAÇÕES PROVISÓRIAS E CONSUMOS"/>
    <s v="Gastos com câmeras de segurança, alarme de segurança, sensores de presença etc "/>
    <s v="vb"/>
    <n v="1"/>
    <n v="1000"/>
    <n v="1000"/>
    <s v="Fixo"/>
    <x v="3"/>
    <s v="Evento"/>
    <s v="Mobilização do Canteiro"/>
  </r>
  <r>
    <m/>
    <x v="1"/>
    <s v="3.5"/>
    <s v="INSTALAÇÕES PROVISÓRIAS E CONSUMOS"/>
    <s v="EPI's"/>
    <m/>
    <m/>
    <m/>
    <n v="11000"/>
    <m/>
    <x v="1"/>
    <m/>
    <m/>
  </r>
  <r>
    <m/>
    <x v="0"/>
    <s v="3.5.1"/>
    <s v="INSTALAÇÕES PROVISÓRIAS E CONSUMOS"/>
    <s v="Capacetes, botas, calças, camisetas, jaquetas e capas de chuvas"/>
    <s v="mês"/>
    <n v="11"/>
    <n v="250"/>
    <n v="2750"/>
    <s v="Variável"/>
    <x v="5"/>
    <s v="Total"/>
    <s v="prazo total"/>
  </r>
  <r>
    <m/>
    <x v="0"/>
    <s v="3.5.2"/>
    <s v="INSTALAÇÕES PROVISÓRIAS E CONSUMOS"/>
    <s v="Protetor auricular, facial, protetor solar,  máscara e óculos"/>
    <s v="mês"/>
    <n v="11"/>
    <n v="250"/>
    <n v="2750"/>
    <s v="Variável"/>
    <x v="5"/>
    <s v="Total"/>
    <s v="prazo total"/>
  </r>
  <r>
    <m/>
    <x v="0"/>
    <s v="3.5.3"/>
    <s v="INSTALAÇÕES PROVISÓRIAS E CONSUMOS"/>
    <s v="Luvas aventais e abafador"/>
    <s v="mês"/>
    <n v="11"/>
    <n v="250"/>
    <n v="2750"/>
    <s v="Variável"/>
    <x v="5"/>
    <s v="Total"/>
    <s v="prazo total"/>
  </r>
  <r>
    <m/>
    <x v="0"/>
    <s v="3.5.4"/>
    <s v="INSTALAÇÕES PROVISÓRIAS E CONSUMOS"/>
    <s v="Cintos de segurança, talabarte e travaquedas"/>
    <s v="mês"/>
    <n v="11"/>
    <n v="250"/>
    <n v="2750"/>
    <s v="Variável"/>
    <x v="5"/>
    <s v="Total"/>
    <s v="prazo total"/>
  </r>
  <r>
    <m/>
    <x v="1"/>
    <s v="3.6"/>
    <s v="INSTALAÇÕES PROVISÓRIAS E CONSUMOS"/>
    <s v="CONTROLE TECNOLOGICO"/>
    <m/>
    <m/>
    <m/>
    <n v="1600"/>
    <m/>
    <x v="1"/>
    <m/>
    <m/>
  </r>
  <r>
    <m/>
    <x v="0"/>
    <s v="3.6.1"/>
    <s v="INSTALAÇÕES PROVISÓRIAS E CONSUMOS"/>
    <s v="Controle tecnológico das estacas"/>
    <s v="vb"/>
    <n v="1"/>
    <n v="1000"/>
    <n v="1000"/>
    <s v="Fixo"/>
    <x v="4"/>
    <s v="Processo"/>
    <s v="Estacas Helice Continua"/>
  </r>
  <r>
    <m/>
    <x v="0"/>
    <s v="3.6.2"/>
    <s v="INSTALAÇÕES PROVISÓRIAS E CONSUMOS"/>
    <s v="Controle tecnológico de qualidade de concreto e grout"/>
    <s v="mês"/>
    <n v="2"/>
    <n v="150"/>
    <n v="300"/>
    <s v="Variável"/>
    <x v="2"/>
    <s v="Processo"/>
    <s v="Estrutura Moldado in Loco"/>
  </r>
  <r>
    <m/>
    <x v="0"/>
    <s v="3.6.3"/>
    <s v="INSTALAÇÕES PROVISÓRIAS E CONSUMOS"/>
    <s v="Controle  tecnológico de qualidade de alvenaria estrutural"/>
    <s v="mês"/>
    <n v="2"/>
    <n v="150"/>
    <n v="300"/>
    <s v="Variável"/>
    <x v="2"/>
    <s v="Processo"/>
    <s v="Alvenaria Estrutural"/>
  </r>
  <r>
    <m/>
    <x v="1"/>
    <s v="3.7"/>
    <s v="INSTALAÇÕES PROVISÓRIAS E CONSUMOS"/>
    <s v="CONSULTORIAS"/>
    <m/>
    <m/>
    <m/>
    <n v="16500"/>
    <m/>
    <x v="1"/>
    <m/>
    <m/>
  </r>
  <r>
    <m/>
    <x v="0"/>
    <s v="3.7.1"/>
    <s v="INSTALAÇÕES PROVISÓRIAS E CONSUMOS"/>
    <s v="Consultoria de Segurança"/>
    <s v="mês"/>
    <n v="11"/>
    <n v="500"/>
    <n v="5500"/>
    <s v="Variável"/>
    <x v="5"/>
    <s v="Total"/>
    <s v="prazo total"/>
  </r>
  <r>
    <m/>
    <x v="0"/>
    <s v="3.7.2"/>
    <s v="INSTALAÇÕES PROVISÓRIAS E CONSUMOS"/>
    <s v="Consultoria de Qualidade"/>
    <s v="mês"/>
    <n v="11"/>
    <n v="500"/>
    <n v="5500"/>
    <s v="Variável"/>
    <x v="5"/>
    <s v="Total"/>
    <s v="prazo total"/>
  </r>
  <r>
    <m/>
    <x v="0"/>
    <s v="3.7.3"/>
    <s v="INSTALAÇÕES PROVISÓRIAS E CONSUMOS"/>
    <s v="Consultoria de Planejamento"/>
    <s v="mês"/>
    <n v="11"/>
    <n v="500"/>
    <n v="5500"/>
    <s v="Variável"/>
    <x v="5"/>
    <s v="Total"/>
    <s v="prazo total"/>
  </r>
  <r>
    <s v="GRUPO"/>
    <x v="1"/>
    <n v="4"/>
    <s v="Administração Central"/>
    <s v="Administração Central"/>
    <m/>
    <m/>
    <m/>
    <n v="242000"/>
    <m/>
    <x v="1"/>
    <m/>
    <m/>
  </r>
  <r>
    <m/>
    <x v="1"/>
    <s v="4.1"/>
    <s v="Administração Central"/>
    <s v="Engenheiro Residente"/>
    <m/>
    <m/>
    <m/>
    <n v="66000"/>
    <m/>
    <x v="1"/>
    <m/>
    <m/>
  </r>
  <r>
    <m/>
    <x v="0"/>
    <s v="4.1.1"/>
    <s v="Administração Central"/>
    <s v="Engenheiro Residente - Mês"/>
    <s v="mês"/>
    <n v="11"/>
    <n v="6000"/>
    <n v="66000"/>
    <s v="Variável"/>
    <x v="5"/>
    <s v="Total"/>
    <s v="prazo total"/>
  </r>
  <r>
    <m/>
    <x v="0"/>
    <s v="4.1.2"/>
    <s v="Administração Central"/>
    <s v="Engenheiro Residente - Hora Extra"/>
    <s v="mês"/>
    <m/>
    <m/>
    <m/>
    <m/>
    <x v="1"/>
    <m/>
    <m/>
  </r>
  <r>
    <m/>
    <x v="0"/>
    <s v="4.1.3"/>
    <s v="Administração Central"/>
    <s v="Engenheiro Residente - Vale Transporte"/>
    <s v="mês"/>
    <m/>
    <m/>
    <m/>
    <m/>
    <x v="1"/>
    <m/>
    <m/>
  </r>
  <r>
    <m/>
    <x v="0"/>
    <s v="4.1.4"/>
    <s v="Administração Central"/>
    <s v="Engenheiro Residente - Vale Refeição"/>
    <s v="mês"/>
    <m/>
    <m/>
    <m/>
    <m/>
    <x v="1"/>
    <m/>
    <m/>
  </r>
  <r>
    <m/>
    <x v="0"/>
    <s v="4.1.5"/>
    <s v="Administração Central"/>
    <s v="Engenheiro Residente - INSS | FGTS | Receita Federal"/>
    <s v="mês"/>
    <m/>
    <m/>
    <m/>
    <m/>
    <x v="1"/>
    <m/>
    <m/>
  </r>
  <r>
    <m/>
    <x v="0"/>
    <s v="4.1.6"/>
    <s v="Administração Central"/>
    <s v="Engenheiro Residente - Sindicatos | Assessorias | Seguros"/>
    <s v="mês"/>
    <m/>
    <m/>
    <m/>
    <m/>
    <x v="1"/>
    <m/>
    <m/>
  </r>
  <r>
    <m/>
    <x v="0"/>
    <s v="4.1.7"/>
    <s v="Administração Central"/>
    <s v="Engenheiro Residente - Exames admissionais, periódicos, demissionais"/>
    <s v="mês"/>
    <m/>
    <m/>
    <m/>
    <m/>
    <x v="1"/>
    <m/>
    <m/>
  </r>
  <r>
    <m/>
    <x v="0"/>
    <s v="4.1.8"/>
    <s v="Administração Central"/>
    <s v="Engenheiro Residente - 13º salário"/>
    <s v="mês"/>
    <m/>
    <m/>
    <m/>
    <m/>
    <x v="1"/>
    <m/>
    <m/>
  </r>
  <r>
    <m/>
    <x v="0"/>
    <s v="4.1.9"/>
    <s v="Administração Central"/>
    <s v="Engenheiro Residente - Férias (1/3)"/>
    <s v="mês"/>
    <m/>
    <m/>
    <m/>
    <m/>
    <x v="1"/>
    <m/>
    <m/>
  </r>
  <r>
    <m/>
    <x v="0"/>
    <s v="4.1.10"/>
    <s v="Administração Central"/>
    <s v="Engenheiro Residente - Venda de férias"/>
    <s v="mês"/>
    <m/>
    <m/>
    <m/>
    <m/>
    <x v="1"/>
    <m/>
    <m/>
  </r>
  <r>
    <m/>
    <x v="0"/>
    <s v="4.1.11"/>
    <s v="Administração Central"/>
    <s v="Engenheiro Residente - Rescisão"/>
    <s v="mês"/>
    <m/>
    <m/>
    <m/>
    <m/>
    <x v="1"/>
    <m/>
    <m/>
  </r>
  <r>
    <m/>
    <x v="1"/>
    <s v="4.2"/>
    <s v="Administração Central"/>
    <s v="Mestre de Obras"/>
    <m/>
    <m/>
    <m/>
    <n v="110000"/>
    <m/>
    <x v="1"/>
    <m/>
    <m/>
  </r>
  <r>
    <m/>
    <x v="0"/>
    <s v="4.2.1"/>
    <s v="Administração Central"/>
    <s v="Mestre de Obras - Mês"/>
    <s v="mês"/>
    <n v="11"/>
    <n v="10000"/>
    <n v="110000"/>
    <s v="Variável"/>
    <x v="5"/>
    <s v="Total"/>
    <s v="prazo total"/>
  </r>
  <r>
    <m/>
    <x v="0"/>
    <s v="4.2.2"/>
    <s v="Administração Central"/>
    <s v="Mestre de Obras - Hora Extra"/>
    <s v="mês"/>
    <m/>
    <m/>
    <m/>
    <m/>
    <x v="1"/>
    <m/>
    <m/>
  </r>
  <r>
    <m/>
    <x v="0"/>
    <s v="4.2.3"/>
    <s v="Administração Central"/>
    <s v="Mestre de Obras - Vale Transporte"/>
    <s v="mês"/>
    <m/>
    <m/>
    <m/>
    <m/>
    <x v="1"/>
    <m/>
    <m/>
  </r>
  <r>
    <m/>
    <x v="0"/>
    <s v="4.2.4"/>
    <s v="Administração Central"/>
    <s v="Mestre de Obras - Vale Refeição"/>
    <s v="mês"/>
    <m/>
    <m/>
    <m/>
    <m/>
    <x v="1"/>
    <m/>
    <m/>
  </r>
  <r>
    <m/>
    <x v="0"/>
    <s v="4.2.5"/>
    <s v="Administração Central"/>
    <s v="Mestre de Obras - INSS | FGTS | Receita Federal"/>
    <s v="mês"/>
    <m/>
    <m/>
    <m/>
    <m/>
    <x v="1"/>
    <m/>
    <m/>
  </r>
  <r>
    <m/>
    <x v="0"/>
    <s v="4.2.6"/>
    <s v="Administração Central"/>
    <s v="Mestre de Obras - Sindicatos | Assessorias | Seguros"/>
    <s v="mês"/>
    <m/>
    <m/>
    <m/>
    <m/>
    <x v="1"/>
    <m/>
    <m/>
  </r>
  <r>
    <m/>
    <x v="0"/>
    <s v="4.2.7"/>
    <s v="Administração Central"/>
    <s v="Mestre de Obras - Exames admissionais, periódicos, demissionais"/>
    <s v="mês"/>
    <m/>
    <m/>
    <m/>
    <m/>
    <x v="1"/>
    <m/>
    <m/>
  </r>
  <r>
    <m/>
    <x v="0"/>
    <s v="4.2.8"/>
    <s v="Administração Central"/>
    <s v="Mestre de Obras - 13º salário"/>
    <s v="mês"/>
    <m/>
    <m/>
    <m/>
    <m/>
    <x v="1"/>
    <m/>
    <m/>
  </r>
  <r>
    <m/>
    <x v="0"/>
    <s v="4.2.9"/>
    <s v="Administração Central"/>
    <s v="Mestre de Obras - Férias (1/3)"/>
    <s v="mês"/>
    <m/>
    <m/>
    <m/>
    <m/>
    <x v="1"/>
    <m/>
    <m/>
  </r>
  <r>
    <m/>
    <x v="0"/>
    <s v="4.2.10"/>
    <s v="Administração Central"/>
    <s v="Mestre de Obras - Venda de férias"/>
    <s v="vb"/>
    <m/>
    <m/>
    <m/>
    <m/>
    <x v="1"/>
    <m/>
    <m/>
  </r>
  <r>
    <m/>
    <x v="0"/>
    <s v="4.2.11"/>
    <s v="Administração Central"/>
    <s v="Mestre de Obras - Rescisão"/>
    <s v="vb"/>
    <m/>
    <m/>
    <m/>
    <m/>
    <x v="1"/>
    <m/>
    <m/>
  </r>
  <r>
    <m/>
    <x v="1"/>
    <s v="4.3"/>
    <s v="Administração Central"/>
    <s v="Encarregado"/>
    <m/>
    <m/>
    <m/>
    <n v="66000"/>
    <m/>
    <x v="1"/>
    <m/>
    <m/>
  </r>
  <r>
    <m/>
    <x v="0"/>
    <s v="4.3.1"/>
    <s v="Administração Central"/>
    <s v="Encarregado 01 - Mês"/>
    <s v="mês"/>
    <n v="11"/>
    <n v="6000"/>
    <n v="66000"/>
    <s v="Variável"/>
    <x v="5"/>
    <s v="Total"/>
    <s v="prazo total"/>
  </r>
  <r>
    <m/>
    <x v="0"/>
    <s v="4.3.2"/>
    <s v="Administração Central"/>
    <s v="Encarregado 01 - Hora Extra"/>
    <s v="mês"/>
    <m/>
    <m/>
    <m/>
    <m/>
    <x v="1"/>
    <m/>
    <m/>
  </r>
  <r>
    <m/>
    <x v="0"/>
    <s v="4.3.3"/>
    <s v="Administração Central"/>
    <s v="Encarregado 01 - Vale Transporte"/>
    <s v="mês"/>
    <m/>
    <m/>
    <m/>
    <m/>
    <x v="1"/>
    <m/>
    <m/>
  </r>
  <r>
    <m/>
    <x v="0"/>
    <s v="4.3.4"/>
    <s v="Administração Central"/>
    <s v="Encarregado 01 - Vale Refeição"/>
    <s v="mês"/>
    <m/>
    <m/>
    <m/>
    <m/>
    <x v="1"/>
    <m/>
    <m/>
  </r>
  <r>
    <m/>
    <x v="0"/>
    <s v="4.3.5"/>
    <s v="Administração Central"/>
    <s v="Encarregado 01 - INSS | FGTS | Receita Federal"/>
    <s v="mês"/>
    <m/>
    <m/>
    <m/>
    <m/>
    <x v="1"/>
    <m/>
    <m/>
  </r>
  <r>
    <m/>
    <x v="0"/>
    <s v="4.3.6"/>
    <s v="Administração Central"/>
    <s v="Encarregado 01 - Sindicatos | Assessorias | Seguros"/>
    <s v="mês"/>
    <m/>
    <m/>
    <m/>
    <m/>
    <x v="1"/>
    <m/>
    <m/>
  </r>
  <r>
    <m/>
    <x v="0"/>
    <s v="4.3.7"/>
    <s v="Administração Central"/>
    <s v="Encarregado 01 - Exames admissionais, periódicos, demissionais"/>
    <s v="mês"/>
    <m/>
    <m/>
    <m/>
    <m/>
    <x v="1"/>
    <m/>
    <m/>
  </r>
  <r>
    <m/>
    <x v="0"/>
    <s v="4.3.8"/>
    <s v="Administração Central"/>
    <s v="Encarregado 01 - 13º salário"/>
    <s v="mês"/>
    <m/>
    <m/>
    <m/>
    <m/>
    <x v="1"/>
    <m/>
    <m/>
  </r>
  <r>
    <m/>
    <x v="0"/>
    <s v="4.3.9"/>
    <s v="Administração Central"/>
    <s v="Encarregado 01 - Férias (1/3)"/>
    <s v="mês"/>
    <m/>
    <m/>
    <m/>
    <m/>
    <x v="1"/>
    <m/>
    <m/>
  </r>
  <r>
    <m/>
    <x v="0"/>
    <s v="4.3.10"/>
    <s v="Administração Central"/>
    <s v="Encarregado 01 - Venda de férias"/>
    <s v="mês"/>
    <m/>
    <m/>
    <m/>
    <m/>
    <x v="1"/>
    <m/>
    <m/>
  </r>
  <r>
    <m/>
    <x v="0"/>
    <s v="4.3.11"/>
    <s v="Administração Central"/>
    <s v="Encarregado 01 - Rescisão"/>
    <s v="vb"/>
    <m/>
    <m/>
    <m/>
    <m/>
    <x v="1"/>
    <m/>
    <m/>
  </r>
  <r>
    <s v="GRUPO"/>
    <x v="1"/>
    <n v="5"/>
    <s v="Projetos e Aprovações"/>
    <s v="Projetos e Aprovações"/>
    <m/>
    <m/>
    <m/>
    <n v="16400"/>
    <m/>
    <x v="1"/>
    <m/>
    <m/>
  </r>
  <r>
    <m/>
    <x v="1"/>
    <s v="5.1"/>
    <s v="Projetos e Aprovações"/>
    <s v="Elaboração de Projetos"/>
    <m/>
    <m/>
    <m/>
    <n v="15000"/>
    <m/>
    <x v="1"/>
    <m/>
    <m/>
  </r>
  <r>
    <m/>
    <x v="2"/>
    <s v="5.1.1"/>
    <s v="Projetos e Aprovações"/>
    <s v="Projeto Arquitetônico"/>
    <s v="vb"/>
    <n v="1"/>
    <n v="1500"/>
    <n v="1500"/>
    <s v="Fixo"/>
    <x v="3"/>
    <s v="Evento"/>
    <s v="Projeto"/>
  </r>
  <r>
    <m/>
    <x v="2"/>
    <s v="5.1.2"/>
    <s v="Projetos e Aprovações"/>
    <s v="Projeto Estrutural"/>
    <s v="vb"/>
    <n v="1"/>
    <n v="1500"/>
    <n v="1500"/>
    <s v="Fixo"/>
    <x v="3"/>
    <s v="Evento"/>
    <s v="Projeto"/>
  </r>
  <r>
    <m/>
    <x v="2"/>
    <s v="5.1.3"/>
    <s v="Projetos e Aprovações"/>
    <s v="Projeto Instalações Hidrossanitário Predial"/>
    <s v="vb"/>
    <n v="1"/>
    <n v="1500"/>
    <n v="1500"/>
    <s v="Fixo"/>
    <x v="3"/>
    <s v="Evento"/>
    <s v="Projeto"/>
  </r>
  <r>
    <m/>
    <x v="2"/>
    <s v="5.1.4"/>
    <s v="Projetos e Aprovações"/>
    <s v="Projeto Instalações Elétrico Predial"/>
    <s v="vb"/>
    <n v="1"/>
    <n v="1500"/>
    <n v="1500"/>
    <s v="Fixo"/>
    <x v="3"/>
    <s v="Evento"/>
    <s v="Projeto"/>
  </r>
  <r>
    <m/>
    <x v="2"/>
    <s v="5.1.5"/>
    <s v="Projetos e Aprovações"/>
    <s v="Projeto de Ar Condicionado"/>
    <s v="vb"/>
    <n v="1"/>
    <n v="1500"/>
    <n v="1500"/>
    <s v="Fixo"/>
    <x v="3"/>
    <s v="Evento"/>
    <s v="Projeto"/>
  </r>
  <r>
    <m/>
    <x v="2"/>
    <s v="5.1.6"/>
    <s v="Projetos e Aprovações"/>
    <s v="Projeto de Gás"/>
    <s v="vb"/>
    <n v="1"/>
    <n v="1500"/>
    <n v="1500"/>
    <s v="Fixo"/>
    <x v="3"/>
    <s v="Evento"/>
    <s v="Projeto"/>
  </r>
  <r>
    <m/>
    <x v="2"/>
    <s v="5.1.7"/>
    <s v="Projetos e Aprovações"/>
    <s v="Projeto de PPCI"/>
    <s v="vb"/>
    <n v="1"/>
    <n v="1500"/>
    <n v="1500"/>
    <s v="Fixo"/>
    <x v="3"/>
    <s v="Evento"/>
    <s v="Projeto"/>
  </r>
  <r>
    <m/>
    <x v="2"/>
    <s v="5.1.8"/>
    <s v="Projetos e Aprovações"/>
    <s v="Projeto Paisagístico"/>
    <s v="vb"/>
    <n v="1"/>
    <n v="1500"/>
    <n v="1500"/>
    <s v="Fixo"/>
    <x v="3"/>
    <s v="Evento"/>
    <s v="Projeto"/>
  </r>
  <r>
    <m/>
    <x v="2"/>
    <s v="5.1.9"/>
    <s v="Projetos e Aprovações"/>
    <s v="Planialtimetrico"/>
    <s v="vb"/>
    <n v="1"/>
    <n v="1500"/>
    <n v="1500"/>
    <s v="Fixo"/>
    <x v="3"/>
    <s v="Evento"/>
    <s v="Projeto"/>
  </r>
  <r>
    <m/>
    <x v="2"/>
    <s v="5.1.10"/>
    <s v="Projetos e Aprovações"/>
    <s v="Sondagem"/>
    <s v="vb"/>
    <n v="1"/>
    <n v="1500"/>
    <n v="1500"/>
    <s v="Fixo"/>
    <x v="3"/>
    <s v="Evento"/>
    <s v="Projeto"/>
  </r>
  <r>
    <m/>
    <x v="1"/>
    <s v="5.2"/>
    <s v="Projetos e Aprovações"/>
    <s v="Licenciamento"/>
    <m/>
    <m/>
    <m/>
    <n v="600"/>
    <m/>
    <x v="1"/>
    <m/>
    <m/>
  </r>
  <r>
    <m/>
    <x v="2"/>
    <s v="5.2.1"/>
    <s v="Projetos e Aprovações"/>
    <s v="Licenciamento Ambiental"/>
    <s v="vb"/>
    <n v="1"/>
    <n v="200"/>
    <n v="200"/>
    <s v="Fixo"/>
    <x v="3"/>
    <s v="Evento"/>
    <s v="Projeto"/>
  </r>
  <r>
    <m/>
    <x v="2"/>
    <s v="5.2.2"/>
    <s v="Projetos e Aprovações"/>
    <s v="Compensação Ambiental"/>
    <s v="vb"/>
    <n v="1"/>
    <n v="200"/>
    <n v="200"/>
    <s v="Fixo"/>
    <x v="3"/>
    <s v="Evento"/>
    <s v="Projeto"/>
  </r>
  <r>
    <m/>
    <x v="2"/>
    <s v="5.2.3"/>
    <s v="Projetos e Aprovações"/>
    <s v="Transplante de árvores"/>
    <s v="vb"/>
    <n v="1"/>
    <n v="200"/>
    <n v="200"/>
    <s v="Fixo"/>
    <x v="3"/>
    <s v="Evento"/>
    <s v="Projeto"/>
  </r>
  <r>
    <m/>
    <x v="1"/>
    <s v="5.3"/>
    <s v="Projetos e Aprovações"/>
    <s v="Taxas"/>
    <m/>
    <m/>
    <m/>
    <n v="800"/>
    <m/>
    <x v="1"/>
    <m/>
    <m/>
  </r>
  <r>
    <m/>
    <x v="2"/>
    <s v="5.3.1"/>
    <s v="Projetos e Aprovações"/>
    <s v="Taxa de aprovação de projeto legal"/>
    <s v="vb"/>
    <n v="1"/>
    <n v="200"/>
    <n v="200"/>
    <s v="Fixo"/>
    <x v="3"/>
    <s v="Evento"/>
    <s v="Projeto"/>
  </r>
  <r>
    <m/>
    <x v="2"/>
    <s v="5.3.2"/>
    <s v="Projetos e Aprovações"/>
    <s v="Taxa de ligação de água"/>
    <s v="vb"/>
    <n v="1"/>
    <n v="200"/>
    <n v="200"/>
    <s v="Fixo"/>
    <x v="4"/>
    <s v="Evento"/>
    <s v="Vistoria"/>
  </r>
  <r>
    <m/>
    <x v="2"/>
    <s v="5.3.3"/>
    <s v="Projetos e Aprovações"/>
    <s v="Taxa de vistoria de bombeirs"/>
    <s v="vb"/>
    <n v="1"/>
    <n v="200"/>
    <n v="200"/>
    <s v="Fixo"/>
    <x v="4"/>
    <s v="Evento"/>
    <s v="Vistoria"/>
  </r>
  <r>
    <m/>
    <x v="2"/>
    <s v="5.3.4"/>
    <s v="Projetos e Aprovações"/>
    <s v="Taxa de habite-se"/>
    <s v="vb"/>
    <n v="1"/>
    <n v="200"/>
    <n v="200"/>
    <s v="Fixo"/>
    <x v="4"/>
    <s v="Evento"/>
    <s v="Vistoria"/>
  </r>
  <r>
    <s v="GRUPO"/>
    <x v="1"/>
    <n v="6"/>
    <s v="Sede"/>
    <s v="Sede"/>
    <m/>
    <m/>
    <m/>
    <n v="93300"/>
    <m/>
    <x v="1"/>
    <m/>
    <m/>
  </r>
  <r>
    <m/>
    <x v="1"/>
    <s v="6.1"/>
    <s v="Sede"/>
    <s v="Assessorias"/>
    <m/>
    <m/>
    <m/>
    <n v="15400"/>
    <m/>
    <x v="1"/>
    <m/>
    <m/>
  </r>
  <r>
    <m/>
    <x v="2"/>
    <s v="6.1.1"/>
    <s v="Sede"/>
    <s v="Assessoria Contábil"/>
    <s v="mês"/>
    <n v="11"/>
    <n v="350"/>
    <n v="3850"/>
    <s v="Variável"/>
    <x v="5"/>
    <s v="Total"/>
    <s v="prazo total"/>
  </r>
  <r>
    <m/>
    <x v="2"/>
    <s v="6.1.2"/>
    <s v="Sede"/>
    <s v="Assessoria de Site"/>
    <s v="mês"/>
    <n v="11"/>
    <n v="350"/>
    <n v="3850"/>
    <s v="Variável"/>
    <x v="5"/>
    <s v="Total"/>
    <s v="prazo total"/>
  </r>
  <r>
    <m/>
    <x v="2"/>
    <s v="6.1.3"/>
    <s v="Sede"/>
    <s v="Assessoria de RH"/>
    <s v="mês"/>
    <n v="11"/>
    <n v="350"/>
    <n v="3850"/>
    <s v="Variável"/>
    <x v="5"/>
    <s v="Total"/>
    <s v="prazo total"/>
  </r>
  <r>
    <m/>
    <x v="2"/>
    <s v="6.1.4"/>
    <s v="Sede"/>
    <s v="Assessoria Jurídica"/>
    <s v="mês"/>
    <n v="11"/>
    <n v="350"/>
    <n v="3850"/>
    <s v="Variável"/>
    <x v="5"/>
    <s v="Total"/>
    <s v="prazo total"/>
  </r>
  <r>
    <m/>
    <x v="1"/>
    <s v="6.2"/>
    <s v="Sede"/>
    <s v="Despesas Bancárias"/>
    <m/>
    <m/>
    <m/>
    <n v="2100"/>
    <m/>
    <x v="1"/>
    <m/>
    <m/>
  </r>
  <r>
    <m/>
    <x v="2"/>
    <s v="6.2.1"/>
    <s v="Sede"/>
    <s v="Tarifa de manutenção de conta corrente"/>
    <s v="mês"/>
    <n v="11"/>
    <n v="50"/>
    <n v="550"/>
    <s v="Variável"/>
    <x v="5"/>
    <s v="Total"/>
    <s v="prazo total"/>
  </r>
  <r>
    <m/>
    <x v="2"/>
    <s v="6.2.2"/>
    <s v="Sede"/>
    <s v="Taxa de acompanhamento de operação"/>
    <s v="mês"/>
    <n v="11"/>
    <n v="50"/>
    <n v="550"/>
    <s v="Variável"/>
    <x v="5"/>
    <s v="Total"/>
    <s v="prazo total"/>
  </r>
  <r>
    <m/>
    <x v="2"/>
    <s v="6.2.3"/>
    <s v="Sede"/>
    <s v="Taxa da construtora"/>
    <s v="vb"/>
    <n v="1"/>
    <n v="1000"/>
    <n v="1000"/>
    <s v="Fixo"/>
    <x v="3"/>
    <s v="Evento"/>
    <s v="Projeto"/>
  </r>
  <r>
    <m/>
    <x v="1"/>
    <s v="6.3"/>
    <s v="Sede"/>
    <s v="Seguros"/>
    <m/>
    <m/>
    <m/>
    <n v="4500"/>
    <m/>
    <x v="1"/>
    <m/>
    <m/>
  </r>
  <r>
    <m/>
    <x v="2"/>
    <s v="6.3.1"/>
    <s v="Sede"/>
    <s v="Seguro risco de engenharia"/>
    <s v="vb"/>
    <n v="1"/>
    <n v="1500"/>
    <n v="1500"/>
    <s v="Fixo"/>
    <x v="3"/>
    <s v="Evento"/>
    <s v="Projeto"/>
  </r>
  <r>
    <m/>
    <x v="2"/>
    <s v="6.3.2"/>
    <s v="Sede"/>
    <s v="Seguro multirisco"/>
    <s v="vb"/>
    <n v="1"/>
    <n v="1500"/>
    <n v="1500"/>
    <s v="Fixo"/>
    <x v="3"/>
    <s v="Evento"/>
    <s v="Projeto"/>
  </r>
  <r>
    <m/>
    <x v="2"/>
    <s v="6.3.3"/>
    <s v="Sede"/>
    <s v="Seguro infra"/>
    <s v="vb"/>
    <n v="1"/>
    <n v="1500"/>
    <n v="1500"/>
    <s v="Fixo"/>
    <x v="3"/>
    <s v="Evento"/>
    <s v="Projeto"/>
  </r>
  <r>
    <m/>
    <x v="1"/>
    <s v="6.4"/>
    <s v="Sede"/>
    <s v="Incorporação"/>
    <m/>
    <m/>
    <m/>
    <n v="7500"/>
    <m/>
    <x v="1"/>
    <m/>
    <m/>
  </r>
  <r>
    <m/>
    <x v="2"/>
    <s v="6.4.1"/>
    <s v="Sede"/>
    <s v="Honorários para incorporação"/>
    <s v="vb"/>
    <n v="1"/>
    <n v="1500"/>
    <n v="1500"/>
    <s v="Fixo"/>
    <x v="3"/>
    <s v="Evento"/>
    <s v="Projeto"/>
  </r>
  <r>
    <m/>
    <x v="2"/>
    <s v="6.4.2"/>
    <s v="Sede"/>
    <s v="Certidões e narratórias para incorporação"/>
    <s v="vb"/>
    <n v="1"/>
    <n v="1500"/>
    <n v="1500"/>
    <s v="Fixo"/>
    <x v="3"/>
    <s v="Evento"/>
    <s v="Projeto"/>
  </r>
  <r>
    <m/>
    <x v="2"/>
    <s v="6.4.3"/>
    <s v="Sede"/>
    <s v="Autenticações e Reconhecimentos"/>
    <s v="vb"/>
    <n v="1"/>
    <n v="1500"/>
    <n v="1500"/>
    <s v="Fixo"/>
    <x v="3"/>
    <s v="Evento"/>
    <s v="Projeto"/>
  </r>
  <r>
    <m/>
    <x v="2"/>
    <s v="6.4.4"/>
    <s v="Sede"/>
    <s v="Registro de incorporação"/>
    <s v="vb"/>
    <n v="1"/>
    <n v="1500"/>
    <n v="1500"/>
    <s v="Fixo"/>
    <x v="4"/>
    <s v="Evento"/>
    <s v="Vistoria"/>
  </r>
  <r>
    <m/>
    <x v="2"/>
    <s v="6.4.5"/>
    <s v="Sede"/>
    <s v="Averbação da construção "/>
    <s v="vb"/>
    <n v="1"/>
    <n v="1500"/>
    <n v="1500"/>
    <s v="Fixo"/>
    <x v="4"/>
    <s v="Evento"/>
    <s v="Vistoria"/>
  </r>
  <r>
    <m/>
    <x v="1"/>
    <s v="6.5"/>
    <s v="Sede"/>
    <s v="Despesas do escritório central"/>
    <m/>
    <m/>
    <m/>
    <n v="63800"/>
    <m/>
    <x v="1"/>
    <m/>
    <m/>
  </r>
  <r>
    <m/>
    <x v="2"/>
    <s v="6.5.1"/>
    <s v="Sede"/>
    <s v="Rateio de custos do escritório central"/>
    <s v="mês"/>
    <n v="11"/>
    <n v="5000"/>
    <n v="55000"/>
    <s v="Variável"/>
    <x v="5"/>
    <s v="Total"/>
    <s v="prazo total"/>
  </r>
  <r>
    <m/>
    <x v="2"/>
    <s v="6.5.2"/>
    <s v="Sede"/>
    <s v="Reembolsos visitas obra"/>
    <s v="mês"/>
    <n v="11"/>
    <n v="300"/>
    <n v="3300"/>
    <s v="Variável"/>
    <x v="5"/>
    <s v="Total"/>
    <s v="prazo total"/>
  </r>
  <r>
    <m/>
    <x v="2"/>
    <s v="6.5.3"/>
    <s v="Sede"/>
    <s v="Softwares"/>
    <s v="mês"/>
    <n v="11"/>
    <n v="500"/>
    <n v="5500"/>
    <s v="Variável"/>
    <x v="5"/>
    <s v="Total"/>
    <s v="prazo total"/>
  </r>
  <r>
    <s v="GRUPO"/>
    <x v="1"/>
    <n v="7"/>
    <s v="Comercialização"/>
    <s v="Comercialização"/>
    <m/>
    <m/>
    <m/>
    <n v="529200"/>
    <m/>
    <x v="1"/>
    <m/>
    <m/>
  </r>
  <r>
    <m/>
    <x v="1"/>
    <s v="7.1"/>
    <s v="Comercialização"/>
    <s v="Impostos"/>
    <m/>
    <m/>
    <m/>
    <n v="288000"/>
    <m/>
    <x v="1"/>
    <m/>
    <m/>
  </r>
  <r>
    <m/>
    <x v="2"/>
    <s v="7.1.1"/>
    <s v="Comercialização"/>
    <s v="Impostos sobre o Faturamento"/>
    <s v="apto"/>
    <n v="16"/>
    <n v="18000"/>
    <n v="288000"/>
    <s v="Variável"/>
    <x v="6"/>
    <m/>
    <m/>
  </r>
  <r>
    <m/>
    <x v="1"/>
    <s v="7.2"/>
    <s v="Comercialização"/>
    <s v="Comissões de vendas"/>
    <m/>
    <m/>
    <m/>
    <n v="192000"/>
    <m/>
    <x v="1"/>
    <m/>
    <m/>
  </r>
  <r>
    <m/>
    <x v="2"/>
    <s v="7.2.1"/>
    <s v="Comercialização"/>
    <s v="Imobiliárias - Comissão de vendas"/>
    <s v="apto"/>
    <n v="16"/>
    <n v="12000"/>
    <n v="192000"/>
    <s v="Variável"/>
    <x v="6"/>
    <m/>
    <m/>
  </r>
  <r>
    <m/>
    <x v="1"/>
    <s v="7.3"/>
    <s v="Comercialização"/>
    <s v="Plantão de Vendas e Decorado"/>
    <m/>
    <m/>
    <m/>
    <n v="16000"/>
    <m/>
    <x v="1"/>
    <m/>
    <m/>
  </r>
  <r>
    <m/>
    <x v="2"/>
    <s v="7.3.1"/>
    <s v="Comercialização"/>
    <s v="Construção do Plantão de Vendas"/>
    <s v="vb"/>
    <n v="1"/>
    <n v="2500"/>
    <n v="2500"/>
    <s v="Fixo"/>
    <x v="3"/>
    <s v="Evento"/>
    <s v="Mobilização do Canteiro"/>
  </r>
  <r>
    <m/>
    <x v="2"/>
    <s v="7.3.2"/>
    <s v="Comercialização"/>
    <s v="Construção do Decorado"/>
    <s v="vb"/>
    <n v="1"/>
    <n v="2500"/>
    <n v="2500"/>
    <s v="Fixo"/>
    <x v="3"/>
    <s v="Evento"/>
    <s v="Mobilização do Canteiro"/>
  </r>
  <r>
    <m/>
    <x v="2"/>
    <s v="7.3.3"/>
    <s v="Comercialização"/>
    <s v="Limpeza e manutenção do Plantão de Vendas e Decorado"/>
    <s v="mês"/>
    <n v="11"/>
    <n v="1000"/>
    <n v="11000"/>
    <s v="Variável"/>
    <x v="5"/>
    <s v="Total"/>
    <s v="prazo total"/>
  </r>
  <r>
    <m/>
    <x v="1"/>
    <s v="7.4"/>
    <s v="Comercialização"/>
    <s v="Marketing"/>
    <m/>
    <m/>
    <m/>
    <n v="6600"/>
    <m/>
    <x v="1"/>
    <m/>
    <m/>
  </r>
  <r>
    <m/>
    <x v="2"/>
    <s v="7.4.1"/>
    <s v="Comercialização"/>
    <s v="Agencia de Comunicação"/>
    <s v="mês"/>
    <n v="11"/>
    <n v="200"/>
    <n v="2200"/>
    <s v="Variável"/>
    <x v="5"/>
    <s v="Total"/>
    <s v="prazo total"/>
  </r>
  <r>
    <m/>
    <x v="2"/>
    <s v="7.4.2"/>
    <s v="Comercialização"/>
    <s v="Mídia Convencional"/>
    <s v="mês"/>
    <n v="11"/>
    <n v="200"/>
    <n v="2200"/>
    <s v="Variável"/>
    <x v="5"/>
    <s v="Total"/>
    <s v="prazo total"/>
  </r>
  <r>
    <m/>
    <x v="2"/>
    <s v="7.4.3"/>
    <s v="Comercialização"/>
    <s v="Mídia Digital"/>
    <s v="mês"/>
    <n v="11"/>
    <n v="200"/>
    <n v="2200"/>
    <s v="Variável"/>
    <x v="5"/>
    <s v="Total"/>
    <s v="prazo total"/>
  </r>
  <r>
    <m/>
    <x v="1"/>
    <s v="7.5"/>
    <s v="Comercialização"/>
    <s v="Entrega dos Apartamentos"/>
    <m/>
    <m/>
    <m/>
    <n v="7400"/>
    <m/>
    <x v="1"/>
    <m/>
    <m/>
  </r>
  <r>
    <m/>
    <x v="2"/>
    <s v="7.5.1"/>
    <s v="Comercialização"/>
    <s v="Evento de Vistorias"/>
    <s v="vb"/>
    <n v="1"/>
    <n v="2500"/>
    <n v="2500"/>
    <s v="Fixo"/>
    <x v="4"/>
    <s v="Evento"/>
    <s v="Entrega"/>
  </r>
  <r>
    <m/>
    <x v="2"/>
    <s v="7.5.2"/>
    <s v="Comercialização"/>
    <s v="Evento de entrega das chaves"/>
    <s v="vb"/>
    <n v="1"/>
    <n v="2500"/>
    <n v="2500"/>
    <s v="Fixo"/>
    <x v="4"/>
    <s v="Evento"/>
    <s v="Entrega"/>
  </r>
  <r>
    <m/>
    <x v="2"/>
    <s v="7.5.3"/>
    <s v="Comercialização"/>
    <s v="Chaves e Acionadores de Portão "/>
    <s v="apto"/>
    <n v="16"/>
    <n v="50"/>
    <n v="800"/>
    <s v="Fixo"/>
    <x v="4"/>
    <s v="Evento"/>
    <s v="Entrega"/>
  </r>
  <r>
    <m/>
    <x v="2"/>
    <s v="7.5.4"/>
    <s v="Comercialização"/>
    <s v="Manuais "/>
    <s v="apto"/>
    <n v="16"/>
    <n v="50"/>
    <n v="800"/>
    <s v="Fixo"/>
    <x v="4"/>
    <s v="Evento"/>
    <s v="Entrega"/>
  </r>
  <r>
    <m/>
    <x v="2"/>
    <s v="7.5.5"/>
    <s v="Comercialização"/>
    <s v="Brindes"/>
    <s v="apto"/>
    <n v="16"/>
    <n v="50"/>
    <n v="800"/>
    <s v="Fixo"/>
    <x v="4"/>
    <s v="Evento"/>
    <s v="Entrega"/>
  </r>
  <r>
    <m/>
    <x v="1"/>
    <s v="7.6"/>
    <s v="Comercialização"/>
    <s v="Custo dos Clientes"/>
    <m/>
    <m/>
    <m/>
    <n v="19200"/>
    <m/>
    <x v="1"/>
    <m/>
    <m/>
  </r>
  <r>
    <m/>
    <x v="2"/>
    <s v="7.6.1"/>
    <s v="Comercialização"/>
    <s v="ITBI Clientes"/>
    <s v="apto"/>
    <n v="16"/>
    <n v="600"/>
    <n v="9600"/>
    <s v="Variável"/>
    <x v="6"/>
    <m/>
    <m/>
  </r>
  <r>
    <m/>
    <x v="2"/>
    <s v="7.6.2"/>
    <s v="Comercialização"/>
    <s v="Registro de Imóveis Clientes"/>
    <s v="apto"/>
    <n v="16"/>
    <n v="600"/>
    <n v="9600"/>
    <s v="Variável"/>
    <x v="6"/>
    <m/>
    <m/>
  </r>
  <r>
    <s v="GRUPO"/>
    <x v="1"/>
    <n v="8"/>
    <s v="Terreno"/>
    <s v="Terreno"/>
    <m/>
    <m/>
    <m/>
    <n v="100000"/>
    <m/>
    <x v="1"/>
    <m/>
    <m/>
  </r>
  <r>
    <m/>
    <x v="1"/>
    <s v="8.1"/>
    <s v="Terreno"/>
    <s v="Aquisição do Terreno"/>
    <m/>
    <m/>
    <m/>
    <m/>
    <m/>
    <x v="1"/>
    <m/>
    <m/>
  </r>
  <r>
    <m/>
    <x v="2"/>
    <s v="8.1.2"/>
    <s v="Terreno"/>
    <s v="Aquisição do terreno"/>
    <s v="vb"/>
    <n v="1"/>
    <n v="100000"/>
    <n v="100000"/>
    <s v="Fixo"/>
    <x v="3"/>
    <s v="Evento"/>
    <s v="Terreno"/>
  </r>
  <r>
    <m/>
    <x v="2"/>
    <s v="8.1.3"/>
    <s v="Terreno"/>
    <s v="Remuneração do proprietário do terreno"/>
    <s v="vb"/>
    <m/>
    <m/>
    <m/>
    <m/>
    <x v="1"/>
    <m/>
    <m/>
  </r>
  <r>
    <m/>
    <x v="2"/>
    <s v="8.1.4"/>
    <s v="Terreno"/>
    <s v="Reembolso aos investidores do terreno"/>
    <s v="vb"/>
    <m/>
    <m/>
    <m/>
    <m/>
    <x v="1"/>
    <m/>
    <m/>
  </r>
  <r>
    <m/>
    <x v="2"/>
    <s v="8.1.5"/>
    <s v="Terreno"/>
    <s v="Comissão de venda terreno"/>
    <s v="vb"/>
    <m/>
    <m/>
    <m/>
    <m/>
    <x v="1"/>
    <m/>
    <m/>
  </r>
  <r>
    <m/>
    <x v="2"/>
    <s v="8.1.6"/>
    <s v="Terreno"/>
    <s v="Correção valor do terreno (INCC) "/>
    <s v="mês"/>
    <m/>
    <m/>
    <m/>
    <m/>
    <x v="1"/>
    <m/>
    <m/>
  </r>
  <r>
    <m/>
    <x v="2"/>
    <s v="8.1.7"/>
    <s v="Terreno"/>
    <s v="ITBI "/>
    <s v="vb"/>
    <m/>
    <m/>
    <m/>
    <m/>
    <x v="1"/>
    <m/>
    <m/>
  </r>
  <r>
    <m/>
    <x v="1"/>
    <s v="8.2"/>
    <s v="Terreno"/>
    <s v="Regularização do Terreno"/>
    <m/>
    <m/>
    <m/>
    <m/>
    <m/>
    <x v="1"/>
    <m/>
    <m/>
  </r>
  <r>
    <m/>
    <x v="2"/>
    <s v="8.2.1"/>
    <s v="Terreno"/>
    <s v="Horas Técnicas de Advogado "/>
    <s v="horas"/>
    <m/>
    <m/>
    <m/>
    <m/>
    <x v="1"/>
    <m/>
    <m/>
  </r>
  <r>
    <m/>
    <x v="2"/>
    <s v="8.2.2"/>
    <s v="Terreno"/>
    <s v="Regularização (custo de desocupação) do terreno"/>
    <s v="vb"/>
    <m/>
    <m/>
    <m/>
    <m/>
    <x v="1"/>
    <m/>
    <m/>
  </r>
  <r>
    <m/>
    <x v="2"/>
    <s v="8.2.3"/>
    <s v="Terreno"/>
    <s v="Pagamento de IPTU atrasado"/>
    <s v="vb"/>
    <m/>
    <m/>
    <m/>
    <m/>
    <x v="1"/>
    <m/>
    <m/>
  </r>
  <r>
    <m/>
    <x v="1"/>
    <s v="8.3"/>
    <s v="Terreno"/>
    <s v="Despesas Iniciais do Terreno"/>
    <m/>
    <m/>
    <m/>
    <m/>
    <m/>
    <x v="1"/>
    <m/>
    <m/>
  </r>
  <r>
    <m/>
    <x v="2"/>
    <s v="8.3.1"/>
    <s v="Terreno"/>
    <s v="Limpeza Inicial do Terreno"/>
    <s v="vb"/>
    <m/>
    <m/>
    <m/>
    <m/>
    <x v="1"/>
    <m/>
    <m/>
  </r>
  <r>
    <m/>
    <x v="2"/>
    <s v="8.3.2"/>
    <s v="Terreno"/>
    <s v="Demolição"/>
    <s v="vb"/>
    <m/>
    <m/>
    <m/>
    <m/>
    <x v="1"/>
    <m/>
    <m/>
  </r>
  <r>
    <m/>
    <x v="2"/>
    <s v="8.3.3"/>
    <s v="Terreno"/>
    <s v="Fechamento/Cercamento"/>
    <s v="vb"/>
    <m/>
    <m/>
    <m/>
    <m/>
    <x v="1"/>
    <m/>
    <m/>
  </r>
  <r>
    <m/>
    <x v="1"/>
    <s v="8.4"/>
    <s v="Terreno"/>
    <s v="Cmpra de Inície Construtivo"/>
    <m/>
    <m/>
    <m/>
    <m/>
    <m/>
    <x v="1"/>
    <m/>
    <m/>
  </r>
  <r>
    <m/>
    <x v="2"/>
    <s v="8.4.1"/>
    <s v="Terreno"/>
    <s v="Compra de Índice Construtivo"/>
    <s v="vb"/>
    <m/>
    <m/>
    <m/>
    <m/>
    <x v="1"/>
    <m/>
    <m/>
  </r>
  <r>
    <m/>
    <x v="1"/>
    <s v="8.5"/>
    <s v="Terreno"/>
    <s v="Despesas Mensais do Terreno"/>
    <m/>
    <m/>
    <m/>
    <m/>
    <m/>
    <x v="1"/>
    <m/>
    <m/>
  </r>
  <r>
    <m/>
    <x v="2"/>
    <s v="8.5.1"/>
    <s v="Terreno"/>
    <s v="Manutenção do terreno pré-obra (limpeza)"/>
    <s v="mês"/>
    <m/>
    <m/>
    <m/>
    <m/>
    <x v="1"/>
    <m/>
    <m/>
  </r>
  <r>
    <m/>
    <x v="2"/>
    <s v="8.5.2"/>
    <s v="Terreno"/>
    <s v="IPTU do Terreno (após a compra)"/>
    <s v="mês"/>
    <m/>
    <m/>
    <m/>
    <m/>
    <x v="1"/>
    <m/>
    <m/>
  </r>
  <r>
    <m/>
    <x v="2"/>
    <s v="8.5.3"/>
    <s v="Terreno"/>
    <s v="Conta de Água do Terreno"/>
    <s v="mês"/>
    <m/>
    <m/>
    <m/>
    <m/>
    <x v="1"/>
    <m/>
    <m/>
  </r>
  <r>
    <m/>
    <x v="2"/>
    <s v="8.5.4"/>
    <s v="Terreno"/>
    <s v="Conta de Luz do Terreno "/>
    <s v="mês"/>
    <m/>
    <m/>
    <m/>
    <m/>
    <x v="1"/>
    <m/>
    <m/>
  </r>
  <r>
    <m/>
    <x v="2"/>
    <s v="8.5.5"/>
    <s v="Terreno"/>
    <s v="Vigia do Terreno"/>
    <s v="mês"/>
    <m/>
    <m/>
    <m/>
    <m/>
    <x v="1"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">
  <r>
    <x v="0"/>
    <n v="1"/>
    <s v="Edificação (Vico ou Orçafascio)"/>
    <s v="Edificação (Vico ou Orçafascio)"/>
    <m/>
    <x v="0"/>
    <m/>
    <n v="1534647.0000000002"/>
    <m/>
    <x v="0"/>
    <x v="0"/>
    <x v="0"/>
    <x v="0"/>
  </r>
  <r>
    <x v="1"/>
    <n v="2"/>
    <s v="EQUIPAMENTOS E FERRAMENTAS"/>
    <s v="EQUIPAMENTOS E FERRAMENTAS"/>
    <m/>
    <x v="1"/>
    <m/>
    <n v="37200"/>
    <m/>
    <x v="1"/>
    <x v="0"/>
    <x v="0"/>
    <x v="1"/>
  </r>
  <r>
    <x v="1"/>
    <s v="2.1"/>
    <s v="EQUIPAMENTOS E FERRAMENTAS"/>
    <s v="ESCAVAÇÃO"/>
    <m/>
    <x v="1"/>
    <m/>
    <n v="11000"/>
    <m/>
    <x v="1"/>
    <x v="0"/>
    <x v="0"/>
    <x v="1"/>
  </r>
  <r>
    <x v="0"/>
    <s v="2.1.1"/>
    <s v="EQUIPAMENTOS E FERRAMENTAS"/>
    <s v="Locação de Retroescavadeira "/>
    <s v="mês"/>
    <x v="0"/>
    <n v="11000"/>
    <n v="11000"/>
    <s v="Variável"/>
    <x v="2"/>
    <x v="1"/>
    <x v="1"/>
    <x v="2"/>
  </r>
  <r>
    <x v="0"/>
    <s v="2.1.2"/>
    <s v="EQUIPAMENTOS E FERRAMENTAS"/>
    <s v="Locação de Bobcat"/>
    <s v="mês"/>
    <x v="1"/>
    <m/>
    <m/>
    <s v="Variável"/>
    <x v="2"/>
    <x v="1"/>
    <x v="0"/>
    <x v="1"/>
  </r>
  <r>
    <x v="1"/>
    <s v="2.2"/>
    <s v="EQUIPAMENTOS E FERRAMENTAS"/>
    <s v="ANDAIME FACHADEIRO"/>
    <m/>
    <x v="1"/>
    <m/>
    <n v="14000"/>
    <m/>
    <x v="1"/>
    <x v="0"/>
    <x v="0"/>
    <x v="1"/>
  </r>
  <r>
    <x v="0"/>
    <s v="2.2.2"/>
    <s v="EQUIPAMENTOS E FERRAMENTAS"/>
    <s v="Andaime Fachadeiro - Montagem + Frete"/>
    <s v="evento"/>
    <x v="0"/>
    <n v="1000"/>
    <n v="1000"/>
    <s v="Fixo"/>
    <x v="3"/>
    <x v="1"/>
    <x v="2"/>
    <x v="3"/>
  </r>
  <r>
    <x v="0"/>
    <s v="2.2.3"/>
    <s v="EQUIPAMENTOS E FERRAMENTAS"/>
    <s v="Andaime Fachadeiro - Locação"/>
    <s v="mês"/>
    <x v="2"/>
    <n v="3000"/>
    <n v="12000"/>
    <s v="Variável"/>
    <x v="2"/>
    <x v="1"/>
    <x v="3"/>
    <x v="2"/>
  </r>
  <r>
    <x v="0"/>
    <s v="2.2.4"/>
    <s v="EQUIPAMENTOS E FERRAMENTAS"/>
    <s v="Andaime Fachadeiro - Desmontagem + Frete"/>
    <s v="evento"/>
    <x v="0"/>
    <n v="1000"/>
    <n v="1000"/>
    <s v="Fixo"/>
    <x v="4"/>
    <x v="1"/>
    <x v="4"/>
    <x v="4"/>
  </r>
  <r>
    <x v="1"/>
    <s v="2.3"/>
    <s v="EQUIPAMENTOS E FERRAMENTAS"/>
    <s v="TRANSPORTE HORIZONTAL E VERTICAL"/>
    <m/>
    <x v="1"/>
    <m/>
    <n v="9000"/>
    <m/>
    <x v="1"/>
    <x v="0"/>
    <x v="0"/>
    <x v="1"/>
  </r>
  <r>
    <x v="0"/>
    <s v="2.3.1"/>
    <s v="EQUIPAMENTOS E FERRAMENTAS"/>
    <s v="Locação de Caminhão Munck"/>
    <s v="mês"/>
    <x v="3"/>
    <n v="1500"/>
    <n v="9000"/>
    <s v="Variável"/>
    <x v="2"/>
    <x v="1"/>
    <x v="5"/>
    <x v="2"/>
  </r>
  <r>
    <x v="0"/>
    <s v="2.3.2"/>
    <s v="EQUIPAMENTOS E FERRAMENTAS"/>
    <s v="Locação de Skytrack"/>
    <s v="mês"/>
    <x v="1"/>
    <m/>
    <m/>
    <s v="Variável"/>
    <x v="2"/>
    <x v="1"/>
    <x v="0"/>
    <x v="1"/>
  </r>
  <r>
    <x v="1"/>
    <s v="2.4"/>
    <s v="EQUIPAMENTOS E FERRAMENTAS"/>
    <s v="ELEVADOR CREMALHEIRA"/>
    <m/>
    <x v="1"/>
    <m/>
    <m/>
    <m/>
    <x v="1"/>
    <x v="0"/>
    <x v="0"/>
    <x v="1"/>
  </r>
  <r>
    <x v="0"/>
    <s v="2.4.1"/>
    <s v="EQUIPAMENTOS E FERRAMENTAS"/>
    <s v="Elevador Cremalheira - Mobilização"/>
    <s v="evento"/>
    <x v="1"/>
    <m/>
    <m/>
    <s v="Fixo"/>
    <x v="3"/>
    <x v="1"/>
    <x v="0"/>
    <x v="1"/>
  </r>
  <r>
    <x v="0"/>
    <s v="2.4.2"/>
    <s v="EQUIPAMENTOS E FERRAMENTAS"/>
    <s v="Elevador Cremalheira - Locação "/>
    <s v="mês"/>
    <x v="1"/>
    <m/>
    <m/>
    <s v="Variável"/>
    <x v="2"/>
    <x v="1"/>
    <x v="0"/>
    <x v="1"/>
  </r>
  <r>
    <x v="0"/>
    <s v="2.4.3"/>
    <s v="EQUIPAMENTOS E FERRAMENTAS"/>
    <s v="Elevador Cremalheira - Desmobilização"/>
    <s v="evento"/>
    <x v="1"/>
    <m/>
    <m/>
    <s v="Fixo"/>
    <x v="4"/>
    <x v="1"/>
    <x v="0"/>
    <x v="1"/>
  </r>
  <r>
    <x v="1"/>
    <s v="2.5"/>
    <s v="EQUIPAMENTOS E FERRAMENTAS"/>
    <s v="BALANCIM"/>
    <m/>
    <x v="1"/>
    <m/>
    <n v="2300"/>
    <m/>
    <x v="1"/>
    <x v="0"/>
    <x v="0"/>
    <x v="1"/>
  </r>
  <r>
    <x v="0"/>
    <s v="2.5.1"/>
    <s v="EQUIPAMENTOS E FERRAMENTAS"/>
    <s v="Andaime suspenso elétrico (balancim) - Locação"/>
    <s v="mês"/>
    <x v="4"/>
    <n v="500"/>
    <n v="1000"/>
    <s v="Variável"/>
    <x v="2"/>
    <x v="1"/>
    <x v="6"/>
    <x v="2"/>
  </r>
  <r>
    <x v="0"/>
    <s v="2.5.2"/>
    <s v="EQUIPAMENTOS E FERRAMENTAS"/>
    <s v="Andaime suspenso elétrico (balancim) - Troca de Fachada"/>
    <s v="evento"/>
    <x v="5"/>
    <n v="100"/>
    <n v="1100"/>
    <s v="Fixo"/>
    <x v="3"/>
    <x v="1"/>
    <x v="7"/>
    <x v="5"/>
  </r>
  <r>
    <x v="0"/>
    <s v="2.5.3"/>
    <s v="EQUIPAMENTOS E FERRAMENTAS"/>
    <s v="Andaime suspenso elétrico (balancim) - Montagem "/>
    <s v="evento"/>
    <x v="0"/>
    <n v="100"/>
    <n v="100"/>
    <s v="Fixo"/>
    <x v="3"/>
    <x v="1"/>
    <x v="7"/>
    <x v="5"/>
  </r>
  <r>
    <x v="0"/>
    <s v="2.5.4"/>
    <s v="EQUIPAMENTOS E FERRAMENTAS"/>
    <s v="Andaime suspenso elétrico (balancim) - Desmontagem"/>
    <s v="evento"/>
    <x v="0"/>
    <n v="100"/>
    <n v="100"/>
    <s v="Fixo"/>
    <x v="4"/>
    <x v="1"/>
    <x v="8"/>
    <x v="6"/>
  </r>
  <r>
    <x v="1"/>
    <s v="2.6"/>
    <s v="EQUIPAMENTOS E FERRAMENTAS"/>
    <s v="LOCAÇÃO DE EQUIPAMENTOS GERAIS"/>
    <m/>
    <x v="1"/>
    <m/>
    <n v="900"/>
    <m/>
    <x v="1"/>
    <x v="0"/>
    <x v="0"/>
    <x v="1"/>
  </r>
  <r>
    <x v="0"/>
    <s v="2.6.1"/>
    <s v="EQUIPAMENTOS E FERRAMENTAS"/>
    <s v="Locação de Escoras Metálicas"/>
    <s v="mês"/>
    <x v="4"/>
    <n v="150"/>
    <n v="300"/>
    <s v="Variável"/>
    <x v="2"/>
    <x v="1"/>
    <x v="9"/>
    <x v="2"/>
  </r>
  <r>
    <x v="0"/>
    <s v="2.6.2"/>
    <s v="EQUIPAMENTOS E FERRAMENTAS"/>
    <s v="Locação de Lava Jato"/>
    <s v="mês"/>
    <x v="1"/>
    <m/>
    <m/>
    <s v="Variável"/>
    <x v="2"/>
    <x v="1"/>
    <x v="0"/>
    <x v="1"/>
  </r>
  <r>
    <x v="0"/>
    <s v="2.6.3"/>
    <s v="EQUIPAMENTOS E FERRAMENTAS"/>
    <s v="Locação de Betoneira"/>
    <s v="mês"/>
    <x v="1"/>
    <m/>
    <m/>
    <s v="Variável"/>
    <x v="2"/>
    <x v="1"/>
    <x v="0"/>
    <x v="1"/>
  </r>
  <r>
    <x v="0"/>
    <s v="2.6.4"/>
    <s v="EQUIPAMENTOS E FERRAMENTAS"/>
    <s v="Locação de Serra circular"/>
    <s v="mês"/>
    <x v="6"/>
    <n v="200"/>
    <n v="600"/>
    <s v="Variável"/>
    <x v="2"/>
    <x v="1"/>
    <x v="10"/>
    <x v="2"/>
  </r>
  <r>
    <x v="0"/>
    <s v="2.6.5"/>
    <s v="EQUIPAMENTOS E FERRAMENTAS"/>
    <s v="Locação de Bomba de recalque e submersa"/>
    <s v="mês"/>
    <x v="1"/>
    <m/>
    <m/>
    <s v="Variável"/>
    <x v="2"/>
    <x v="1"/>
    <x v="0"/>
    <x v="1"/>
  </r>
  <r>
    <x v="0"/>
    <s v="2.6.6"/>
    <s v="EQUIPAMENTOS E FERRAMENTAS"/>
    <s v="Locação de Martelo Rompedor "/>
    <s v="mês"/>
    <x v="1"/>
    <m/>
    <m/>
    <s v="Variável"/>
    <x v="2"/>
    <x v="1"/>
    <x v="0"/>
    <x v="1"/>
  </r>
  <r>
    <x v="1"/>
    <s v="2.7"/>
    <s v="EQUIPAMENTOS E FERRAMENTAS"/>
    <s v="AQUISIÇÃO DE EQUIPAMENTOS GERAIS"/>
    <m/>
    <x v="1"/>
    <m/>
    <m/>
    <m/>
    <x v="1"/>
    <x v="0"/>
    <x v="0"/>
    <x v="1"/>
  </r>
  <r>
    <x v="0"/>
    <s v="2.7.1"/>
    <s v="EQUIPAMENTOS E FERRAMENTAS"/>
    <s v="Aquisição de Lava Jato"/>
    <s v="und"/>
    <x v="1"/>
    <m/>
    <m/>
    <s v="Fixo"/>
    <x v="3"/>
    <x v="1"/>
    <x v="0"/>
    <x v="1"/>
  </r>
  <r>
    <x v="0"/>
    <s v="2.7.2"/>
    <s v="EQUIPAMENTOS E FERRAMENTAS"/>
    <s v="Aquisição de Betoneira"/>
    <s v="und"/>
    <x v="1"/>
    <m/>
    <m/>
    <s v="Fixo"/>
    <x v="3"/>
    <x v="1"/>
    <x v="0"/>
    <x v="1"/>
  </r>
  <r>
    <x v="0"/>
    <s v="2.7.3"/>
    <s v="EQUIPAMENTOS E FERRAMENTAS"/>
    <s v="Aquisição de Serra circular"/>
    <s v="und"/>
    <x v="1"/>
    <m/>
    <m/>
    <s v="Fixo"/>
    <x v="3"/>
    <x v="1"/>
    <x v="0"/>
    <x v="1"/>
  </r>
  <r>
    <x v="0"/>
    <s v="2.7.4"/>
    <s v="EQUIPAMENTOS E FERRAMENTAS"/>
    <s v="Aquisição de Bomba de recalque e submersa"/>
    <s v="und"/>
    <x v="1"/>
    <m/>
    <m/>
    <s v="Fixo"/>
    <x v="3"/>
    <x v="1"/>
    <x v="0"/>
    <x v="1"/>
  </r>
  <r>
    <x v="0"/>
    <s v="2.7.5"/>
    <s v="EQUIPAMENTOS E FERRAMENTAS"/>
    <s v="Aquisição de Martelo Rompedor "/>
    <s v="und"/>
    <x v="1"/>
    <m/>
    <m/>
    <s v="Fixo"/>
    <x v="3"/>
    <x v="1"/>
    <x v="0"/>
    <x v="1"/>
  </r>
  <r>
    <x v="1"/>
    <s v="2.8"/>
    <s v="EQUIPAMENTOS E FERRAMENTAS"/>
    <s v="AQUISIÇÃO DE FERRAMENTAS"/>
    <m/>
    <x v="1"/>
    <m/>
    <m/>
    <m/>
    <x v="1"/>
    <x v="0"/>
    <x v="0"/>
    <x v="1"/>
  </r>
  <r>
    <x v="0"/>
    <s v="2.8.1"/>
    <s v="EQUIPAMENTOS E FERRAMENTAS"/>
    <s v="Carrinho de Mão"/>
    <s v="und"/>
    <x v="1"/>
    <m/>
    <m/>
    <s v="Fixo"/>
    <x v="3"/>
    <x v="1"/>
    <x v="0"/>
    <x v="1"/>
  </r>
  <r>
    <x v="0"/>
    <s v="2.8.2"/>
    <s v="EQUIPAMENTOS E FERRAMENTAS"/>
    <s v="Nível à Laser"/>
    <s v="und"/>
    <x v="1"/>
    <m/>
    <m/>
    <s v="Fixo"/>
    <x v="3"/>
    <x v="1"/>
    <x v="0"/>
    <x v="1"/>
  </r>
  <r>
    <x v="1"/>
    <n v="3"/>
    <s v="INSTALAÇÕES PROVISÓRIAS E CONSUMOS"/>
    <s v="INSTALAÇÕES PROVISÓRIAS E CONSUMOS"/>
    <m/>
    <x v="1"/>
    <m/>
    <n v="70520"/>
    <m/>
    <x v="1"/>
    <x v="0"/>
    <x v="0"/>
    <x v="1"/>
  </r>
  <r>
    <x v="1"/>
    <s v="3.1"/>
    <s v="INSTALAÇÕES PROVISÓRIAS E CONSUMOS"/>
    <s v="CONSTRUÇÃO DAS INSTALAÇÕES PROVISÓRIAS"/>
    <m/>
    <x v="1"/>
    <m/>
    <n v="18500"/>
    <m/>
    <x v="1"/>
    <x v="0"/>
    <x v="0"/>
    <x v="1"/>
  </r>
  <r>
    <x v="0"/>
    <s v="3.1.1"/>
    <s v="INSTALAÇÕES PROVISÓRIAS E CONSUMOS"/>
    <s v="Limpeza do terreno (em frente do empreendimento)"/>
    <s v="vb"/>
    <x v="0"/>
    <n v="500"/>
    <n v="500"/>
    <s v="Fixo"/>
    <x v="3"/>
    <x v="2"/>
    <x v="11"/>
    <x v="7"/>
  </r>
  <r>
    <x v="0"/>
    <s v="3.1.2"/>
    <s v="INSTALAÇÕES PROVISÓRIAS E CONSUMOS"/>
    <s v="Tapume da obra"/>
    <s v="vb"/>
    <x v="0"/>
    <n v="1000"/>
    <n v="1000"/>
    <s v="Fixo"/>
    <x v="3"/>
    <x v="2"/>
    <x v="11"/>
    <x v="7"/>
  </r>
  <r>
    <x v="0"/>
    <s v="3.1.3"/>
    <s v="INSTALAÇÕES PROVISÓRIAS E CONSUMOS"/>
    <s v="Construção das instalações provisórias (escritório/refeitório/almoxarifado) - material"/>
    <s v="vb"/>
    <x v="0"/>
    <n v="5000"/>
    <n v="5000"/>
    <s v="Fixo"/>
    <x v="3"/>
    <x v="2"/>
    <x v="11"/>
    <x v="7"/>
  </r>
  <r>
    <x v="0"/>
    <s v="3.1.4"/>
    <s v="INSTALAÇÕES PROVISÓRIAS E CONSUMOS"/>
    <s v="Construção das instalações provisórias (escritório/refeitório/almoxarifado) - mão de obra"/>
    <s v="vb"/>
    <x v="0"/>
    <n v="1000"/>
    <n v="1000"/>
    <s v="Fixo"/>
    <x v="3"/>
    <x v="2"/>
    <x v="11"/>
    <x v="7"/>
  </r>
  <r>
    <x v="0"/>
    <s v="3.1.5"/>
    <s v="INSTALAÇÕES PROVISÓRIAS E CONSUMOS"/>
    <s v="Instalações elétricas provisórias canteiro - material"/>
    <s v="vb"/>
    <x v="0"/>
    <n v="500"/>
    <n v="500"/>
    <s v="Fixo"/>
    <x v="3"/>
    <x v="2"/>
    <x v="11"/>
    <x v="7"/>
  </r>
  <r>
    <x v="0"/>
    <s v="3.1.6"/>
    <s v="INSTALAÇÕES PROVISÓRIAS E CONSUMOS"/>
    <s v="Instalações elétricas provisórias canteiro - mão de obra"/>
    <s v="vb"/>
    <x v="0"/>
    <n v="500"/>
    <n v="500"/>
    <s v="Fixo"/>
    <x v="3"/>
    <x v="2"/>
    <x v="11"/>
    <x v="7"/>
  </r>
  <r>
    <x v="0"/>
    <s v="3.1.7"/>
    <s v="INSTALAÇÕES PROVISÓRIAS E CONSUMOS"/>
    <s v="Aquisição de mobiliário para escritório e refeitório"/>
    <s v="vb"/>
    <x v="0"/>
    <n v="2500"/>
    <n v="2500"/>
    <s v="Fixo"/>
    <x v="3"/>
    <x v="2"/>
    <x v="11"/>
    <x v="7"/>
  </r>
  <r>
    <x v="0"/>
    <s v="3.1.8"/>
    <s v="INSTALAÇÕES PROVISÓRIAS E CONSUMOS"/>
    <s v="Aquisição de equipamentos de informatica e telefonia"/>
    <s v="vb"/>
    <x v="0"/>
    <n v="5000"/>
    <n v="5000"/>
    <s v="Fixo"/>
    <x v="3"/>
    <x v="2"/>
    <x v="11"/>
    <x v="7"/>
  </r>
  <r>
    <x v="0"/>
    <s v="3.1.9"/>
    <s v="INSTALAÇÕES PROVISÓRIAS E CONSUMOS"/>
    <s v="Frete para importação de materiais de outras obras"/>
    <s v="vb"/>
    <x v="0"/>
    <n v="500"/>
    <n v="500"/>
    <s v="Fixo"/>
    <x v="3"/>
    <x v="2"/>
    <x v="11"/>
    <x v="7"/>
  </r>
  <r>
    <x v="0"/>
    <s v="3.1.10"/>
    <s v="INSTALAÇÕES PROVISÓRIAS E CONSUMOS"/>
    <s v="Bases de concreto armado  (silo, elevador cremalheira, carpintaria)"/>
    <s v="vb"/>
    <x v="0"/>
    <n v="500"/>
    <n v="500"/>
    <s v="Fixo"/>
    <x v="3"/>
    <x v="2"/>
    <x v="11"/>
    <x v="7"/>
  </r>
  <r>
    <x v="0"/>
    <s v="3.1.11"/>
    <s v="INSTALAÇÕES PROVISÓRIAS E CONSUMOS"/>
    <s v="Desmobilização do canteiro de obras"/>
    <s v="vb"/>
    <x v="0"/>
    <n v="1000"/>
    <n v="1000"/>
    <s v="Fixo"/>
    <x v="4"/>
    <x v="2"/>
    <x v="12"/>
    <x v="8"/>
  </r>
  <r>
    <x v="0"/>
    <s v="3.1.12"/>
    <s v="INSTALAÇÕES PROVISÓRIAS E CONSUMOS"/>
    <s v="Rachão - Acesso"/>
    <s v="vb"/>
    <x v="0"/>
    <n v="250"/>
    <n v="250"/>
    <s v="Fixo"/>
    <x v="3"/>
    <x v="2"/>
    <x v="11"/>
    <x v="7"/>
  </r>
  <r>
    <x v="0"/>
    <s v="3.1.13"/>
    <s v="INSTALAÇÕES PROVISÓRIAS E CONSUMOS"/>
    <s v="Placa de Obra"/>
    <s v="vb"/>
    <x v="0"/>
    <n v="250"/>
    <n v="250"/>
    <s v="Fixo"/>
    <x v="3"/>
    <x v="2"/>
    <x v="11"/>
    <x v="7"/>
  </r>
  <r>
    <x v="1"/>
    <s v="3.2"/>
    <s v="INSTALAÇÕES PROVISÓRIAS E CONSUMOS"/>
    <s v="LIMPEZA DA OBRA"/>
    <m/>
    <x v="1"/>
    <m/>
    <n v="3550"/>
    <m/>
    <x v="1"/>
    <x v="0"/>
    <x v="0"/>
    <x v="1"/>
  </r>
  <r>
    <x v="0"/>
    <s v="3.2.1"/>
    <s v="INSTALAÇÕES PROVISÓRIAS E CONSUMOS"/>
    <s v="Locação de entulho "/>
    <s v="mês"/>
    <x v="5"/>
    <n v="300"/>
    <n v="3300"/>
    <s v="Variável"/>
    <x v="5"/>
    <x v="3"/>
    <x v="13"/>
    <x v="9"/>
  </r>
  <r>
    <x v="0"/>
    <s v="3.2.2"/>
    <s v="INSTALAÇÕES PROVISÓRIAS E CONSUMOS"/>
    <s v="Dutos para retirada de entulhos"/>
    <s v="vb"/>
    <x v="0"/>
    <n v="250"/>
    <n v="250"/>
    <s v="Fixo"/>
    <x v="3"/>
    <x v="1"/>
    <x v="14"/>
    <x v="10"/>
  </r>
  <r>
    <x v="1"/>
    <s v="3.3"/>
    <s v="INSTALAÇÕES PROVISÓRIAS E CONSUMOS"/>
    <s v="DESPESAS MENSAIS"/>
    <m/>
    <x v="1"/>
    <m/>
    <n v="7370"/>
    <m/>
    <x v="1"/>
    <x v="0"/>
    <x v="0"/>
    <x v="1"/>
  </r>
  <r>
    <x v="0"/>
    <s v="3.3.1"/>
    <s v="INSTALAÇÕES PROVISÓRIAS E CONSUMOS"/>
    <s v="Aluguel de container sanitário"/>
    <s v="mês"/>
    <x v="5"/>
    <n v="150"/>
    <n v="1650"/>
    <s v="Variável"/>
    <x v="5"/>
    <x v="3"/>
    <x v="13"/>
    <x v="9"/>
  </r>
  <r>
    <x v="0"/>
    <s v="3.3.2"/>
    <s v="INSTALAÇÕES PROVISÓRIAS E CONSUMOS"/>
    <s v="Material de escritorio de obra (expediente)"/>
    <s v="mês"/>
    <x v="5"/>
    <n v="50"/>
    <n v="550"/>
    <s v="Variável"/>
    <x v="5"/>
    <x v="3"/>
    <x v="13"/>
    <x v="9"/>
  </r>
  <r>
    <x v="0"/>
    <s v="3.3.4"/>
    <s v="INSTALAÇÕES PROVISÓRIAS E CONSUMOS"/>
    <s v="Despesas com Farmácia"/>
    <s v="mês"/>
    <x v="5"/>
    <n v="50"/>
    <n v="550"/>
    <s v="Variável"/>
    <x v="5"/>
    <x v="3"/>
    <x v="13"/>
    <x v="9"/>
  </r>
  <r>
    <x v="0"/>
    <s v="3.3.5"/>
    <s v="INSTALAÇÕES PROVISÓRIAS E CONSUMOS"/>
    <s v="Conta de Água"/>
    <s v="mês"/>
    <x v="5"/>
    <n v="80"/>
    <n v="880"/>
    <s v="Variável"/>
    <x v="5"/>
    <x v="3"/>
    <x v="13"/>
    <x v="9"/>
  </r>
  <r>
    <x v="0"/>
    <s v="3.3.6"/>
    <s v="INSTALAÇÕES PROVISÓRIAS E CONSUMOS"/>
    <s v="Conta de Luz"/>
    <s v="mês"/>
    <x v="5"/>
    <n v="80"/>
    <n v="880"/>
    <s v="Variável"/>
    <x v="5"/>
    <x v="3"/>
    <x v="13"/>
    <x v="9"/>
  </r>
  <r>
    <x v="0"/>
    <s v="3.3.7"/>
    <s v="INSTALAÇÕES PROVISÓRIAS E CONSUMOS"/>
    <s v="Contas de Telefone e Internet"/>
    <s v="mês"/>
    <x v="5"/>
    <n v="80"/>
    <n v="880"/>
    <s v="Variável"/>
    <x v="5"/>
    <x v="3"/>
    <x v="13"/>
    <x v="9"/>
  </r>
  <r>
    <x v="0"/>
    <s v="3.3.8"/>
    <s v="INSTALAÇÕES PROVISÓRIAS E CONSUMOS"/>
    <s v="Locação gerador"/>
    <s v="mês"/>
    <x v="1"/>
    <m/>
    <m/>
    <s v="Variável"/>
    <x v="5"/>
    <x v="3"/>
    <x v="0"/>
    <x v="1"/>
  </r>
  <r>
    <x v="0"/>
    <s v="3.3.9"/>
    <s v="INSTALAÇÕES PROVISÓRIAS E CONSUMOS"/>
    <s v="Plotagem de projetos"/>
    <s v="mês"/>
    <x v="5"/>
    <n v="100"/>
    <n v="1100"/>
    <s v="Variável"/>
    <x v="5"/>
    <x v="3"/>
    <x v="13"/>
    <x v="9"/>
  </r>
  <r>
    <x v="0"/>
    <s v="3.3.10"/>
    <s v="INSTALAÇÕES PROVISÓRIAS E CONSUMOS"/>
    <s v="Motoboy"/>
    <s v="mês"/>
    <x v="5"/>
    <n v="80"/>
    <n v="880"/>
    <s v="Variável"/>
    <x v="5"/>
    <x v="3"/>
    <x v="13"/>
    <x v="9"/>
  </r>
  <r>
    <x v="1"/>
    <s v="3.4"/>
    <s v="INSTALAÇÕES PROVISÓRIAS E CONSUMOS"/>
    <s v="SEGURANÇA PATRIMONIAL "/>
    <m/>
    <x v="1"/>
    <m/>
    <n v="12000"/>
    <m/>
    <x v="1"/>
    <x v="0"/>
    <x v="0"/>
    <x v="1"/>
  </r>
  <r>
    <x v="0"/>
    <s v="3.4.1"/>
    <s v="INSTALAÇÕES PROVISÓRIAS E CONSUMOS"/>
    <s v="Custo mensal da Vigilância Terceirizada"/>
    <s v="mês"/>
    <x v="5"/>
    <n v="1000"/>
    <n v="11000"/>
    <s v="Variável"/>
    <x v="5"/>
    <x v="3"/>
    <x v="13"/>
    <x v="9"/>
  </r>
  <r>
    <x v="0"/>
    <s v="3.4.2"/>
    <s v="INSTALAÇÕES PROVISÓRIAS E CONSUMOS"/>
    <s v="Gastos com câmeras de segurança, alarme de segurança, sensores de presença etc "/>
    <s v="vb"/>
    <x v="0"/>
    <n v="1000"/>
    <n v="1000"/>
    <s v="Fixo"/>
    <x v="3"/>
    <x v="2"/>
    <x v="11"/>
    <x v="7"/>
  </r>
  <r>
    <x v="1"/>
    <s v="3.5"/>
    <s v="INSTALAÇÕES PROVISÓRIAS E CONSUMOS"/>
    <s v="EPI's"/>
    <m/>
    <x v="1"/>
    <m/>
    <n v="11000"/>
    <m/>
    <x v="1"/>
    <x v="0"/>
    <x v="0"/>
    <x v="1"/>
  </r>
  <r>
    <x v="0"/>
    <s v="3.5.1"/>
    <s v="INSTALAÇÕES PROVISÓRIAS E CONSUMOS"/>
    <s v="Capacetes, botas, calças, camisetas, jaquetas e capas de chuvas"/>
    <s v="mês"/>
    <x v="5"/>
    <n v="250"/>
    <n v="2750"/>
    <s v="Variável"/>
    <x v="5"/>
    <x v="3"/>
    <x v="13"/>
    <x v="9"/>
  </r>
  <r>
    <x v="0"/>
    <s v="3.5.2"/>
    <s v="INSTALAÇÕES PROVISÓRIAS E CONSUMOS"/>
    <s v="Protetor auricular, facial, protetor solar,  máscara e óculos"/>
    <s v="mês"/>
    <x v="5"/>
    <n v="250"/>
    <n v="2750"/>
    <s v="Variável"/>
    <x v="5"/>
    <x v="3"/>
    <x v="13"/>
    <x v="9"/>
  </r>
  <r>
    <x v="0"/>
    <s v="3.5.3"/>
    <s v="INSTALAÇÕES PROVISÓRIAS E CONSUMOS"/>
    <s v="Luvas aventais e abafador"/>
    <s v="mês"/>
    <x v="5"/>
    <n v="250"/>
    <n v="2750"/>
    <s v="Variável"/>
    <x v="5"/>
    <x v="3"/>
    <x v="13"/>
    <x v="9"/>
  </r>
  <r>
    <x v="0"/>
    <s v="3.5.4"/>
    <s v="INSTALAÇÕES PROVISÓRIAS E CONSUMOS"/>
    <s v="Cintos de segurança, talabarte e travaquedas"/>
    <s v="mês"/>
    <x v="5"/>
    <n v="250"/>
    <n v="2750"/>
    <s v="Variável"/>
    <x v="5"/>
    <x v="3"/>
    <x v="13"/>
    <x v="9"/>
  </r>
  <r>
    <x v="1"/>
    <s v="3.6"/>
    <s v="INSTALAÇÕES PROVISÓRIAS E CONSUMOS"/>
    <s v="CONTROLE TECNOLOGICO"/>
    <m/>
    <x v="1"/>
    <m/>
    <n v="1600"/>
    <m/>
    <x v="1"/>
    <x v="0"/>
    <x v="0"/>
    <x v="1"/>
  </r>
  <r>
    <x v="0"/>
    <s v="3.6.1"/>
    <s v="INSTALAÇÕES PROVISÓRIAS E CONSUMOS"/>
    <s v="Controle tecnológico das estacas"/>
    <s v="vb"/>
    <x v="0"/>
    <n v="1000"/>
    <n v="1000"/>
    <s v="Fixo"/>
    <x v="4"/>
    <x v="1"/>
    <x v="15"/>
    <x v="11"/>
  </r>
  <r>
    <x v="0"/>
    <s v="3.6.2"/>
    <s v="INSTALAÇÕES PROVISÓRIAS E CONSUMOS"/>
    <s v="Controle tecnológico de qualidade de concreto e grout"/>
    <s v="mês"/>
    <x v="4"/>
    <n v="150"/>
    <n v="300"/>
    <s v="Variável"/>
    <x v="2"/>
    <x v="1"/>
    <x v="9"/>
    <x v="2"/>
  </r>
  <r>
    <x v="0"/>
    <s v="3.6.3"/>
    <s v="INSTALAÇÕES PROVISÓRIAS E CONSUMOS"/>
    <s v="Controle  tecnológico de qualidade de alvenaria estrutural"/>
    <s v="mês"/>
    <x v="4"/>
    <n v="150"/>
    <n v="300"/>
    <s v="Variável"/>
    <x v="2"/>
    <x v="1"/>
    <x v="16"/>
    <x v="2"/>
  </r>
  <r>
    <x v="1"/>
    <s v="3.7"/>
    <s v="INSTALAÇÕES PROVISÓRIAS E CONSUMOS"/>
    <s v="CONSULTORIAS"/>
    <m/>
    <x v="1"/>
    <m/>
    <n v="16500"/>
    <m/>
    <x v="1"/>
    <x v="0"/>
    <x v="0"/>
    <x v="1"/>
  </r>
  <r>
    <x v="0"/>
    <s v="3.7.1"/>
    <s v="INSTALAÇÕES PROVISÓRIAS E CONSUMOS"/>
    <s v="Consultoria de Segurança"/>
    <s v="mês"/>
    <x v="5"/>
    <n v="500"/>
    <n v="5500"/>
    <s v="Variável"/>
    <x v="5"/>
    <x v="3"/>
    <x v="13"/>
    <x v="9"/>
  </r>
  <r>
    <x v="0"/>
    <s v="3.7.2"/>
    <s v="INSTALAÇÕES PROVISÓRIAS E CONSUMOS"/>
    <s v="Consultoria de Qualidade"/>
    <s v="mês"/>
    <x v="5"/>
    <n v="500"/>
    <n v="5500"/>
    <s v="Variável"/>
    <x v="5"/>
    <x v="3"/>
    <x v="13"/>
    <x v="9"/>
  </r>
  <r>
    <x v="0"/>
    <s v="3.7.3"/>
    <s v="INSTALAÇÕES PROVISÓRIAS E CONSUMOS"/>
    <s v="Consultoria de Planejamento"/>
    <s v="mês"/>
    <x v="5"/>
    <n v="500"/>
    <n v="5500"/>
    <s v="Variável"/>
    <x v="5"/>
    <x v="3"/>
    <x v="13"/>
    <x v="9"/>
  </r>
  <r>
    <x v="1"/>
    <n v="4"/>
    <s v="Administração Central"/>
    <s v="Administração Central"/>
    <m/>
    <x v="1"/>
    <m/>
    <n v="242000"/>
    <m/>
    <x v="1"/>
    <x v="0"/>
    <x v="0"/>
    <x v="1"/>
  </r>
  <r>
    <x v="1"/>
    <s v="4.1"/>
    <s v="Administração Central"/>
    <s v="Engenheiro Residente"/>
    <m/>
    <x v="1"/>
    <m/>
    <n v="66000"/>
    <m/>
    <x v="1"/>
    <x v="0"/>
    <x v="0"/>
    <x v="1"/>
  </r>
  <r>
    <x v="0"/>
    <s v="4.1.1"/>
    <s v="Administração Central"/>
    <s v="Engenheiro Residente - Mês"/>
    <s v="mês"/>
    <x v="5"/>
    <n v="6000"/>
    <n v="66000"/>
    <s v="Variável"/>
    <x v="5"/>
    <x v="3"/>
    <x v="13"/>
    <x v="9"/>
  </r>
  <r>
    <x v="0"/>
    <s v="4.1.2"/>
    <s v="Administração Central"/>
    <s v="Engenheiro Residente - Hora Extra"/>
    <s v="mês"/>
    <x v="1"/>
    <m/>
    <m/>
    <m/>
    <x v="1"/>
    <x v="0"/>
    <x v="0"/>
    <x v="1"/>
  </r>
  <r>
    <x v="0"/>
    <s v="4.1.3"/>
    <s v="Administração Central"/>
    <s v="Engenheiro Residente - Vale Transporte"/>
    <s v="mês"/>
    <x v="1"/>
    <m/>
    <m/>
    <m/>
    <x v="1"/>
    <x v="0"/>
    <x v="0"/>
    <x v="1"/>
  </r>
  <r>
    <x v="0"/>
    <s v="4.1.4"/>
    <s v="Administração Central"/>
    <s v="Engenheiro Residente - Vale Refeição"/>
    <s v="mês"/>
    <x v="1"/>
    <m/>
    <m/>
    <m/>
    <x v="1"/>
    <x v="0"/>
    <x v="0"/>
    <x v="1"/>
  </r>
  <r>
    <x v="0"/>
    <s v="4.1.5"/>
    <s v="Administração Central"/>
    <s v="Engenheiro Residente - INSS | FGTS | Receita Federal"/>
    <s v="mês"/>
    <x v="1"/>
    <m/>
    <m/>
    <m/>
    <x v="1"/>
    <x v="0"/>
    <x v="0"/>
    <x v="1"/>
  </r>
  <r>
    <x v="0"/>
    <s v="4.1.6"/>
    <s v="Administração Central"/>
    <s v="Engenheiro Residente - Sindicatos | Assessorias | Seguros"/>
    <s v="mês"/>
    <x v="1"/>
    <m/>
    <m/>
    <m/>
    <x v="1"/>
    <x v="0"/>
    <x v="0"/>
    <x v="1"/>
  </r>
  <r>
    <x v="0"/>
    <s v="4.1.7"/>
    <s v="Administração Central"/>
    <s v="Engenheiro Residente - Exames admissionais, periódicos, demissionais"/>
    <s v="mês"/>
    <x v="1"/>
    <m/>
    <m/>
    <m/>
    <x v="1"/>
    <x v="0"/>
    <x v="0"/>
    <x v="1"/>
  </r>
  <r>
    <x v="0"/>
    <s v="4.1.8"/>
    <s v="Administração Central"/>
    <s v="Engenheiro Residente - 13º salário"/>
    <s v="mês"/>
    <x v="1"/>
    <m/>
    <m/>
    <m/>
    <x v="1"/>
    <x v="0"/>
    <x v="0"/>
    <x v="1"/>
  </r>
  <r>
    <x v="0"/>
    <s v="4.1.9"/>
    <s v="Administração Central"/>
    <s v="Engenheiro Residente - Férias (1/3)"/>
    <s v="mês"/>
    <x v="1"/>
    <m/>
    <m/>
    <m/>
    <x v="1"/>
    <x v="0"/>
    <x v="0"/>
    <x v="1"/>
  </r>
  <r>
    <x v="0"/>
    <s v="4.1.10"/>
    <s v="Administração Central"/>
    <s v="Engenheiro Residente - Venda de férias"/>
    <s v="mês"/>
    <x v="1"/>
    <m/>
    <m/>
    <m/>
    <x v="1"/>
    <x v="0"/>
    <x v="0"/>
    <x v="1"/>
  </r>
  <r>
    <x v="0"/>
    <s v="4.1.11"/>
    <s v="Administração Central"/>
    <s v="Engenheiro Residente - Rescisão"/>
    <s v="mês"/>
    <x v="1"/>
    <m/>
    <m/>
    <m/>
    <x v="1"/>
    <x v="0"/>
    <x v="0"/>
    <x v="1"/>
  </r>
  <r>
    <x v="1"/>
    <s v="4.2"/>
    <s v="Administração Central"/>
    <s v="Mestre de Obras"/>
    <m/>
    <x v="1"/>
    <m/>
    <n v="110000"/>
    <m/>
    <x v="1"/>
    <x v="0"/>
    <x v="0"/>
    <x v="1"/>
  </r>
  <r>
    <x v="0"/>
    <s v="4.2.1"/>
    <s v="Administração Central"/>
    <s v="Mestre de Obras - Mês"/>
    <s v="mês"/>
    <x v="5"/>
    <n v="10000"/>
    <n v="110000"/>
    <s v="Variável"/>
    <x v="5"/>
    <x v="3"/>
    <x v="13"/>
    <x v="9"/>
  </r>
  <r>
    <x v="0"/>
    <s v="4.2.2"/>
    <s v="Administração Central"/>
    <s v="Mestre de Obras - Hora Extra"/>
    <s v="mês"/>
    <x v="1"/>
    <m/>
    <m/>
    <m/>
    <x v="1"/>
    <x v="0"/>
    <x v="0"/>
    <x v="1"/>
  </r>
  <r>
    <x v="0"/>
    <s v="4.2.3"/>
    <s v="Administração Central"/>
    <s v="Mestre de Obras - Vale Transporte"/>
    <s v="mês"/>
    <x v="1"/>
    <m/>
    <m/>
    <m/>
    <x v="1"/>
    <x v="0"/>
    <x v="0"/>
    <x v="1"/>
  </r>
  <r>
    <x v="0"/>
    <s v="4.2.4"/>
    <s v="Administração Central"/>
    <s v="Mestre de Obras - Vale Refeição"/>
    <s v="mês"/>
    <x v="1"/>
    <m/>
    <m/>
    <m/>
    <x v="1"/>
    <x v="0"/>
    <x v="0"/>
    <x v="1"/>
  </r>
  <r>
    <x v="0"/>
    <s v="4.2.5"/>
    <s v="Administração Central"/>
    <s v="Mestre de Obras - INSS | FGTS | Receita Federal"/>
    <s v="mês"/>
    <x v="1"/>
    <m/>
    <m/>
    <m/>
    <x v="1"/>
    <x v="0"/>
    <x v="0"/>
    <x v="1"/>
  </r>
  <r>
    <x v="0"/>
    <s v="4.2.6"/>
    <s v="Administração Central"/>
    <s v="Mestre de Obras - Sindicatos | Assessorias | Seguros"/>
    <s v="mês"/>
    <x v="1"/>
    <m/>
    <m/>
    <m/>
    <x v="1"/>
    <x v="0"/>
    <x v="0"/>
    <x v="1"/>
  </r>
  <r>
    <x v="0"/>
    <s v="4.2.7"/>
    <s v="Administração Central"/>
    <s v="Mestre de Obras - Exames admissionais, periódicos, demissionais"/>
    <s v="mês"/>
    <x v="1"/>
    <m/>
    <m/>
    <m/>
    <x v="1"/>
    <x v="0"/>
    <x v="0"/>
    <x v="1"/>
  </r>
  <r>
    <x v="0"/>
    <s v="4.2.8"/>
    <s v="Administração Central"/>
    <s v="Mestre de Obras - 13º salário"/>
    <s v="mês"/>
    <x v="1"/>
    <m/>
    <m/>
    <m/>
    <x v="1"/>
    <x v="0"/>
    <x v="0"/>
    <x v="1"/>
  </r>
  <r>
    <x v="0"/>
    <s v="4.2.9"/>
    <s v="Administração Central"/>
    <s v="Mestre de Obras - Férias (1/3)"/>
    <s v="mês"/>
    <x v="1"/>
    <m/>
    <m/>
    <m/>
    <x v="1"/>
    <x v="0"/>
    <x v="0"/>
    <x v="1"/>
  </r>
  <r>
    <x v="0"/>
    <s v="4.2.10"/>
    <s v="Administração Central"/>
    <s v="Mestre de Obras - Venda de férias"/>
    <s v="vb"/>
    <x v="1"/>
    <m/>
    <m/>
    <m/>
    <x v="1"/>
    <x v="0"/>
    <x v="0"/>
    <x v="1"/>
  </r>
  <r>
    <x v="0"/>
    <s v="4.2.11"/>
    <s v="Administração Central"/>
    <s v="Mestre de Obras - Rescisão"/>
    <s v="vb"/>
    <x v="1"/>
    <m/>
    <m/>
    <m/>
    <x v="1"/>
    <x v="0"/>
    <x v="0"/>
    <x v="1"/>
  </r>
  <r>
    <x v="1"/>
    <s v="4.3"/>
    <s v="Administração Central"/>
    <s v="Encarregado"/>
    <m/>
    <x v="1"/>
    <m/>
    <n v="66000"/>
    <m/>
    <x v="1"/>
    <x v="0"/>
    <x v="0"/>
    <x v="1"/>
  </r>
  <r>
    <x v="0"/>
    <s v="4.3.1"/>
    <s v="Administração Central"/>
    <s v="Encarregado 01 - Mês"/>
    <s v="mês"/>
    <x v="5"/>
    <n v="6000"/>
    <n v="66000"/>
    <s v="Variável"/>
    <x v="5"/>
    <x v="3"/>
    <x v="13"/>
    <x v="9"/>
  </r>
  <r>
    <x v="0"/>
    <s v="4.3.2"/>
    <s v="Administração Central"/>
    <s v="Encarregado 01 - Hora Extra"/>
    <s v="mês"/>
    <x v="1"/>
    <m/>
    <m/>
    <m/>
    <x v="1"/>
    <x v="0"/>
    <x v="0"/>
    <x v="1"/>
  </r>
  <r>
    <x v="0"/>
    <s v="4.3.3"/>
    <s v="Administração Central"/>
    <s v="Encarregado 01 - Vale Transporte"/>
    <s v="mês"/>
    <x v="1"/>
    <m/>
    <m/>
    <m/>
    <x v="1"/>
    <x v="0"/>
    <x v="0"/>
    <x v="1"/>
  </r>
  <r>
    <x v="0"/>
    <s v="4.3.4"/>
    <s v="Administração Central"/>
    <s v="Encarregado 01 - Vale Refeição"/>
    <s v="mês"/>
    <x v="1"/>
    <m/>
    <m/>
    <m/>
    <x v="1"/>
    <x v="0"/>
    <x v="0"/>
    <x v="1"/>
  </r>
  <r>
    <x v="0"/>
    <s v="4.3.5"/>
    <s v="Administração Central"/>
    <s v="Encarregado 01 - INSS | FGTS | Receita Federal"/>
    <s v="mês"/>
    <x v="1"/>
    <m/>
    <m/>
    <m/>
    <x v="1"/>
    <x v="0"/>
    <x v="0"/>
    <x v="1"/>
  </r>
  <r>
    <x v="0"/>
    <s v="4.3.6"/>
    <s v="Administração Central"/>
    <s v="Encarregado 01 - Sindicatos | Assessorias | Seguros"/>
    <s v="mês"/>
    <x v="1"/>
    <m/>
    <m/>
    <m/>
    <x v="1"/>
    <x v="0"/>
    <x v="0"/>
    <x v="1"/>
  </r>
  <r>
    <x v="0"/>
    <s v="4.3.7"/>
    <s v="Administração Central"/>
    <s v="Encarregado 01 - Exames admissionais, periódicos, demissionais"/>
    <s v="mês"/>
    <x v="1"/>
    <m/>
    <m/>
    <m/>
    <x v="1"/>
    <x v="0"/>
    <x v="0"/>
    <x v="1"/>
  </r>
  <r>
    <x v="0"/>
    <s v="4.3.8"/>
    <s v="Administração Central"/>
    <s v="Encarregado 01 - 13º salário"/>
    <s v="mês"/>
    <x v="1"/>
    <m/>
    <m/>
    <m/>
    <x v="1"/>
    <x v="0"/>
    <x v="0"/>
    <x v="1"/>
  </r>
  <r>
    <x v="0"/>
    <s v="4.3.9"/>
    <s v="Administração Central"/>
    <s v="Encarregado 01 - Férias (1/3)"/>
    <s v="mês"/>
    <x v="1"/>
    <m/>
    <m/>
    <m/>
    <x v="1"/>
    <x v="0"/>
    <x v="0"/>
    <x v="1"/>
  </r>
  <r>
    <x v="0"/>
    <s v="4.3.10"/>
    <s v="Administração Central"/>
    <s v="Encarregado 01 - Venda de férias"/>
    <s v="mês"/>
    <x v="1"/>
    <m/>
    <m/>
    <m/>
    <x v="1"/>
    <x v="0"/>
    <x v="0"/>
    <x v="1"/>
  </r>
  <r>
    <x v="0"/>
    <s v="4.3.11"/>
    <s v="Administração Central"/>
    <s v="Encarregado 01 - Rescisão"/>
    <s v="vb"/>
    <x v="1"/>
    <m/>
    <m/>
    <m/>
    <x v="1"/>
    <x v="0"/>
    <x v="0"/>
    <x v="1"/>
  </r>
  <r>
    <x v="1"/>
    <n v="5"/>
    <s v="Projetos e Aprovações"/>
    <s v="Projetos e Aprovações"/>
    <m/>
    <x v="1"/>
    <m/>
    <n v="16400"/>
    <m/>
    <x v="1"/>
    <x v="0"/>
    <x v="0"/>
    <x v="1"/>
  </r>
  <r>
    <x v="1"/>
    <s v="5.1"/>
    <s v="Projetos e Aprovações"/>
    <s v="Elaboração de Projetos"/>
    <m/>
    <x v="1"/>
    <m/>
    <n v="15000"/>
    <m/>
    <x v="1"/>
    <x v="0"/>
    <x v="0"/>
    <x v="1"/>
  </r>
  <r>
    <x v="2"/>
    <s v="5.1.1"/>
    <s v="Projetos e Aprovações"/>
    <s v="Projeto Arquitetônico"/>
    <s v="vb"/>
    <x v="0"/>
    <n v="1500"/>
    <n v="1500"/>
    <s v="Fixo"/>
    <x v="3"/>
    <x v="2"/>
    <x v="17"/>
    <x v="12"/>
  </r>
  <r>
    <x v="2"/>
    <s v="5.1.2"/>
    <s v="Projetos e Aprovações"/>
    <s v="Projeto Estrutural"/>
    <s v="vb"/>
    <x v="0"/>
    <n v="1500"/>
    <n v="1500"/>
    <s v="Fixo"/>
    <x v="3"/>
    <x v="2"/>
    <x v="17"/>
    <x v="12"/>
  </r>
  <r>
    <x v="2"/>
    <s v="5.1.3"/>
    <s v="Projetos e Aprovações"/>
    <s v="Projeto Instalações Hidrossanitário Predial"/>
    <s v="vb"/>
    <x v="0"/>
    <n v="1500"/>
    <n v="1500"/>
    <s v="Fixo"/>
    <x v="3"/>
    <x v="2"/>
    <x v="17"/>
    <x v="12"/>
  </r>
  <r>
    <x v="2"/>
    <s v="5.1.4"/>
    <s v="Projetos e Aprovações"/>
    <s v="Projeto Instalações Elétrico Predial"/>
    <s v="vb"/>
    <x v="0"/>
    <n v="1500"/>
    <n v="1500"/>
    <s v="Fixo"/>
    <x v="3"/>
    <x v="2"/>
    <x v="17"/>
    <x v="12"/>
  </r>
  <r>
    <x v="2"/>
    <s v="5.1.5"/>
    <s v="Projetos e Aprovações"/>
    <s v="Projeto de Ar Condicionado"/>
    <s v="vb"/>
    <x v="0"/>
    <n v="1500"/>
    <n v="1500"/>
    <s v="Fixo"/>
    <x v="3"/>
    <x v="2"/>
    <x v="17"/>
    <x v="12"/>
  </r>
  <r>
    <x v="2"/>
    <s v="5.1.6"/>
    <s v="Projetos e Aprovações"/>
    <s v="Projeto de Gás"/>
    <s v="vb"/>
    <x v="0"/>
    <n v="1500"/>
    <n v="1500"/>
    <s v="Fixo"/>
    <x v="3"/>
    <x v="2"/>
    <x v="17"/>
    <x v="12"/>
  </r>
  <r>
    <x v="2"/>
    <s v="5.1.7"/>
    <s v="Projetos e Aprovações"/>
    <s v="Projeto de PPCI"/>
    <s v="vb"/>
    <x v="0"/>
    <n v="1500"/>
    <n v="1500"/>
    <s v="Fixo"/>
    <x v="3"/>
    <x v="2"/>
    <x v="17"/>
    <x v="12"/>
  </r>
  <r>
    <x v="2"/>
    <s v="5.1.8"/>
    <s v="Projetos e Aprovações"/>
    <s v="Projeto Paisagístico"/>
    <s v="vb"/>
    <x v="0"/>
    <n v="1500"/>
    <n v="1500"/>
    <s v="Fixo"/>
    <x v="3"/>
    <x v="2"/>
    <x v="17"/>
    <x v="12"/>
  </r>
  <r>
    <x v="2"/>
    <s v="5.1.9"/>
    <s v="Projetos e Aprovações"/>
    <s v="Planialtimetrico"/>
    <s v="vb"/>
    <x v="0"/>
    <n v="1500"/>
    <n v="1500"/>
    <s v="Fixo"/>
    <x v="3"/>
    <x v="2"/>
    <x v="17"/>
    <x v="12"/>
  </r>
  <r>
    <x v="2"/>
    <s v="5.1.10"/>
    <s v="Projetos e Aprovações"/>
    <s v="Sondagem"/>
    <s v="vb"/>
    <x v="0"/>
    <n v="1500"/>
    <n v="1500"/>
    <s v="Fixo"/>
    <x v="3"/>
    <x v="2"/>
    <x v="17"/>
    <x v="12"/>
  </r>
  <r>
    <x v="1"/>
    <s v="5.2"/>
    <s v="Projetos e Aprovações"/>
    <s v="Licenciamento"/>
    <m/>
    <x v="1"/>
    <m/>
    <n v="600"/>
    <m/>
    <x v="1"/>
    <x v="0"/>
    <x v="0"/>
    <x v="1"/>
  </r>
  <r>
    <x v="2"/>
    <s v="5.2.1"/>
    <s v="Projetos e Aprovações"/>
    <s v="Licenciamento Ambiental"/>
    <s v="vb"/>
    <x v="0"/>
    <n v="200"/>
    <n v="200"/>
    <s v="Fixo"/>
    <x v="3"/>
    <x v="2"/>
    <x v="17"/>
    <x v="12"/>
  </r>
  <r>
    <x v="2"/>
    <s v="5.2.2"/>
    <s v="Projetos e Aprovações"/>
    <s v="Compensação Ambiental"/>
    <s v="vb"/>
    <x v="0"/>
    <n v="200"/>
    <n v="200"/>
    <s v="Fixo"/>
    <x v="3"/>
    <x v="2"/>
    <x v="17"/>
    <x v="12"/>
  </r>
  <r>
    <x v="2"/>
    <s v="5.2.3"/>
    <s v="Projetos e Aprovações"/>
    <s v="Transplante de árvores"/>
    <s v="vb"/>
    <x v="0"/>
    <n v="200"/>
    <n v="200"/>
    <s v="Fixo"/>
    <x v="3"/>
    <x v="2"/>
    <x v="17"/>
    <x v="12"/>
  </r>
  <r>
    <x v="1"/>
    <s v="5.3"/>
    <s v="Projetos e Aprovações"/>
    <s v="Taxas"/>
    <m/>
    <x v="1"/>
    <m/>
    <n v="800"/>
    <m/>
    <x v="1"/>
    <x v="0"/>
    <x v="0"/>
    <x v="1"/>
  </r>
  <r>
    <x v="2"/>
    <s v="5.3.1"/>
    <s v="Projetos e Aprovações"/>
    <s v="Taxa de aprovação de projeto legal"/>
    <s v="vb"/>
    <x v="0"/>
    <n v="200"/>
    <n v="200"/>
    <s v="Fixo"/>
    <x v="3"/>
    <x v="2"/>
    <x v="17"/>
    <x v="12"/>
  </r>
  <r>
    <x v="2"/>
    <s v="5.3.2"/>
    <s v="Projetos e Aprovações"/>
    <s v="Taxa de ligação de água"/>
    <s v="vb"/>
    <x v="0"/>
    <n v="200"/>
    <n v="200"/>
    <s v="Fixo"/>
    <x v="4"/>
    <x v="2"/>
    <x v="18"/>
    <x v="13"/>
  </r>
  <r>
    <x v="2"/>
    <s v="5.3.3"/>
    <s v="Projetos e Aprovações"/>
    <s v="Taxa de vistoria de bombeirs"/>
    <s v="vb"/>
    <x v="0"/>
    <n v="200"/>
    <n v="200"/>
    <s v="Fixo"/>
    <x v="4"/>
    <x v="2"/>
    <x v="18"/>
    <x v="13"/>
  </r>
  <r>
    <x v="2"/>
    <s v="5.3.4"/>
    <s v="Projetos e Aprovações"/>
    <s v="Taxa de habite-se"/>
    <s v="vb"/>
    <x v="0"/>
    <n v="200"/>
    <n v="200"/>
    <s v="Fixo"/>
    <x v="4"/>
    <x v="2"/>
    <x v="18"/>
    <x v="13"/>
  </r>
  <r>
    <x v="1"/>
    <n v="6"/>
    <s v="Sede"/>
    <s v="Sede"/>
    <m/>
    <x v="1"/>
    <m/>
    <n v="93300"/>
    <m/>
    <x v="1"/>
    <x v="0"/>
    <x v="0"/>
    <x v="1"/>
  </r>
  <r>
    <x v="1"/>
    <s v="6.1"/>
    <s v="Sede"/>
    <s v="Assessorias"/>
    <m/>
    <x v="1"/>
    <m/>
    <n v="15400"/>
    <m/>
    <x v="1"/>
    <x v="0"/>
    <x v="0"/>
    <x v="1"/>
  </r>
  <r>
    <x v="2"/>
    <s v="6.1.1"/>
    <s v="Sede"/>
    <s v="Assessoria Contábil"/>
    <s v="mês"/>
    <x v="5"/>
    <n v="350"/>
    <n v="3850"/>
    <s v="Variável"/>
    <x v="5"/>
    <x v="3"/>
    <x v="13"/>
    <x v="9"/>
  </r>
  <r>
    <x v="2"/>
    <s v="6.1.2"/>
    <s v="Sede"/>
    <s v="Assessoria de Site"/>
    <s v="mês"/>
    <x v="5"/>
    <n v="350"/>
    <n v="3850"/>
    <s v="Variável"/>
    <x v="5"/>
    <x v="3"/>
    <x v="13"/>
    <x v="9"/>
  </r>
  <r>
    <x v="2"/>
    <s v="6.1.3"/>
    <s v="Sede"/>
    <s v="Assessoria de RH"/>
    <s v="mês"/>
    <x v="5"/>
    <n v="350"/>
    <n v="3850"/>
    <s v="Variável"/>
    <x v="5"/>
    <x v="3"/>
    <x v="13"/>
    <x v="9"/>
  </r>
  <r>
    <x v="2"/>
    <s v="6.1.4"/>
    <s v="Sede"/>
    <s v="Assessoria Jurídica"/>
    <s v="mês"/>
    <x v="5"/>
    <n v="350"/>
    <n v="3850"/>
    <s v="Variável"/>
    <x v="5"/>
    <x v="3"/>
    <x v="13"/>
    <x v="9"/>
  </r>
  <r>
    <x v="1"/>
    <s v="6.2"/>
    <s v="Sede"/>
    <s v="Despesas Bancárias"/>
    <m/>
    <x v="1"/>
    <m/>
    <n v="2100"/>
    <m/>
    <x v="1"/>
    <x v="0"/>
    <x v="0"/>
    <x v="1"/>
  </r>
  <r>
    <x v="2"/>
    <s v="6.2.1"/>
    <s v="Sede"/>
    <s v="Tarifa de manutenção de conta corrente"/>
    <s v="mês"/>
    <x v="5"/>
    <n v="50"/>
    <n v="550"/>
    <s v="Variável"/>
    <x v="5"/>
    <x v="3"/>
    <x v="13"/>
    <x v="9"/>
  </r>
  <r>
    <x v="2"/>
    <s v="6.2.2"/>
    <s v="Sede"/>
    <s v="Taxa de acompanhamento de operação"/>
    <s v="mês"/>
    <x v="5"/>
    <n v="50"/>
    <n v="550"/>
    <s v="Variável"/>
    <x v="5"/>
    <x v="3"/>
    <x v="13"/>
    <x v="9"/>
  </r>
  <r>
    <x v="2"/>
    <s v="6.2.3"/>
    <s v="Sede"/>
    <s v="Taxa da construtora"/>
    <s v="vb"/>
    <x v="0"/>
    <n v="1000"/>
    <n v="1000"/>
    <s v="Fixo"/>
    <x v="3"/>
    <x v="2"/>
    <x v="17"/>
    <x v="12"/>
  </r>
  <r>
    <x v="1"/>
    <s v="6.3"/>
    <s v="Sede"/>
    <s v="Seguros"/>
    <m/>
    <x v="1"/>
    <m/>
    <n v="4500"/>
    <m/>
    <x v="1"/>
    <x v="0"/>
    <x v="0"/>
    <x v="1"/>
  </r>
  <r>
    <x v="2"/>
    <s v="6.3.1"/>
    <s v="Sede"/>
    <s v="Seguro risco de engenharia"/>
    <s v="vb"/>
    <x v="0"/>
    <n v="1500"/>
    <n v="1500"/>
    <s v="Fixo"/>
    <x v="3"/>
    <x v="2"/>
    <x v="17"/>
    <x v="12"/>
  </r>
  <r>
    <x v="2"/>
    <s v="6.3.2"/>
    <s v="Sede"/>
    <s v="Seguro multirisco"/>
    <s v="vb"/>
    <x v="0"/>
    <n v="1500"/>
    <n v="1500"/>
    <s v="Fixo"/>
    <x v="3"/>
    <x v="2"/>
    <x v="17"/>
    <x v="12"/>
  </r>
  <r>
    <x v="2"/>
    <s v="6.3.3"/>
    <s v="Sede"/>
    <s v="Seguro infra"/>
    <s v="vb"/>
    <x v="0"/>
    <n v="1500"/>
    <n v="1500"/>
    <s v="Fixo"/>
    <x v="3"/>
    <x v="2"/>
    <x v="17"/>
    <x v="12"/>
  </r>
  <r>
    <x v="1"/>
    <s v="6.4"/>
    <s v="Sede"/>
    <s v="Incorporação"/>
    <m/>
    <x v="1"/>
    <m/>
    <n v="7500"/>
    <m/>
    <x v="1"/>
    <x v="0"/>
    <x v="0"/>
    <x v="1"/>
  </r>
  <r>
    <x v="2"/>
    <s v="6.4.1"/>
    <s v="Sede"/>
    <s v="Honorários para incorporação"/>
    <s v="vb"/>
    <x v="0"/>
    <n v="1500"/>
    <n v="1500"/>
    <s v="Fixo"/>
    <x v="3"/>
    <x v="2"/>
    <x v="17"/>
    <x v="12"/>
  </r>
  <r>
    <x v="2"/>
    <s v="6.4.2"/>
    <s v="Sede"/>
    <s v="Certidões e narratórias para incorporação"/>
    <s v="vb"/>
    <x v="0"/>
    <n v="1500"/>
    <n v="1500"/>
    <s v="Fixo"/>
    <x v="3"/>
    <x v="2"/>
    <x v="17"/>
    <x v="12"/>
  </r>
  <r>
    <x v="2"/>
    <s v="6.4.3"/>
    <s v="Sede"/>
    <s v="Autenticações e Reconhecimentos"/>
    <s v="vb"/>
    <x v="0"/>
    <n v="1500"/>
    <n v="1500"/>
    <s v="Fixo"/>
    <x v="3"/>
    <x v="2"/>
    <x v="17"/>
    <x v="12"/>
  </r>
  <r>
    <x v="2"/>
    <s v="6.4.4"/>
    <s v="Sede"/>
    <s v="Registro de incorporação"/>
    <s v="vb"/>
    <x v="0"/>
    <n v="1500"/>
    <n v="1500"/>
    <s v="Fixo"/>
    <x v="4"/>
    <x v="2"/>
    <x v="18"/>
    <x v="13"/>
  </r>
  <r>
    <x v="2"/>
    <s v="6.4.5"/>
    <s v="Sede"/>
    <s v="Averbação da construção "/>
    <s v="vb"/>
    <x v="0"/>
    <n v="1500"/>
    <n v="1500"/>
    <s v="Fixo"/>
    <x v="4"/>
    <x v="2"/>
    <x v="18"/>
    <x v="13"/>
  </r>
  <r>
    <x v="1"/>
    <s v="6.5"/>
    <s v="Sede"/>
    <s v="Despesas do escritório central"/>
    <m/>
    <x v="1"/>
    <m/>
    <n v="63800"/>
    <m/>
    <x v="1"/>
    <x v="0"/>
    <x v="0"/>
    <x v="1"/>
  </r>
  <r>
    <x v="2"/>
    <s v="6.5.1"/>
    <s v="Sede"/>
    <s v="Rateio de custos do escritório central"/>
    <s v="mês"/>
    <x v="5"/>
    <n v="5000"/>
    <n v="55000"/>
    <s v="Variável"/>
    <x v="5"/>
    <x v="3"/>
    <x v="13"/>
    <x v="9"/>
  </r>
  <r>
    <x v="2"/>
    <s v="6.5.2"/>
    <s v="Sede"/>
    <s v="Reembolsos visitas obra"/>
    <s v="mês"/>
    <x v="5"/>
    <n v="300"/>
    <n v="3300"/>
    <s v="Variável"/>
    <x v="5"/>
    <x v="3"/>
    <x v="13"/>
    <x v="9"/>
  </r>
  <r>
    <x v="2"/>
    <s v="6.5.3"/>
    <s v="Sede"/>
    <s v="Softwares"/>
    <s v="mês"/>
    <x v="5"/>
    <n v="500"/>
    <n v="5500"/>
    <s v="Variável"/>
    <x v="5"/>
    <x v="3"/>
    <x v="13"/>
    <x v="9"/>
  </r>
  <r>
    <x v="1"/>
    <n v="7"/>
    <s v="Comercialização"/>
    <s v="Comercialização"/>
    <m/>
    <x v="1"/>
    <m/>
    <n v="529200"/>
    <m/>
    <x v="1"/>
    <x v="0"/>
    <x v="0"/>
    <x v="1"/>
  </r>
  <r>
    <x v="1"/>
    <s v="7.1"/>
    <s v="Comercialização"/>
    <s v="Impostos"/>
    <m/>
    <x v="1"/>
    <m/>
    <n v="288000"/>
    <m/>
    <x v="1"/>
    <x v="0"/>
    <x v="0"/>
    <x v="1"/>
  </r>
  <r>
    <x v="2"/>
    <s v="7.1.1"/>
    <s v="Comercialização"/>
    <s v="Impostos sobre o Faturamento"/>
    <s v="apto"/>
    <x v="7"/>
    <n v="18000"/>
    <n v="288000"/>
    <s v="Variável"/>
    <x v="6"/>
    <x v="0"/>
    <x v="0"/>
    <x v="14"/>
  </r>
  <r>
    <x v="1"/>
    <s v="7.2"/>
    <s v="Comercialização"/>
    <s v="Comissões de vendas"/>
    <m/>
    <x v="1"/>
    <m/>
    <n v="192000"/>
    <m/>
    <x v="1"/>
    <x v="0"/>
    <x v="0"/>
    <x v="1"/>
  </r>
  <r>
    <x v="2"/>
    <s v="7.2.1"/>
    <s v="Comercialização"/>
    <s v="Imobiliárias - Comissão de vendas"/>
    <s v="apto"/>
    <x v="7"/>
    <n v="12000"/>
    <n v="192000"/>
    <s v="Variável"/>
    <x v="6"/>
    <x v="0"/>
    <x v="0"/>
    <x v="14"/>
  </r>
  <r>
    <x v="1"/>
    <s v="7.3"/>
    <s v="Comercialização"/>
    <s v="Plantão de Vendas e Decorado"/>
    <m/>
    <x v="1"/>
    <m/>
    <n v="16000"/>
    <m/>
    <x v="1"/>
    <x v="0"/>
    <x v="0"/>
    <x v="1"/>
  </r>
  <r>
    <x v="2"/>
    <s v="7.3.1"/>
    <s v="Comercialização"/>
    <s v="Construção do Plantão de Vendas"/>
    <s v="vb"/>
    <x v="0"/>
    <n v="2500"/>
    <n v="2500"/>
    <s v="Fixo"/>
    <x v="3"/>
    <x v="2"/>
    <x v="11"/>
    <x v="7"/>
  </r>
  <r>
    <x v="2"/>
    <s v="7.3.2"/>
    <s v="Comercialização"/>
    <s v="Construção do Decorado"/>
    <s v="vb"/>
    <x v="0"/>
    <n v="2500"/>
    <n v="2500"/>
    <s v="Fixo"/>
    <x v="3"/>
    <x v="2"/>
    <x v="11"/>
    <x v="7"/>
  </r>
  <r>
    <x v="2"/>
    <s v="7.3.3"/>
    <s v="Comercialização"/>
    <s v="Limpeza e manutenção do Plantão de Vendas e Decorado"/>
    <s v="mês"/>
    <x v="5"/>
    <n v="1000"/>
    <n v="11000"/>
    <s v="Variável"/>
    <x v="5"/>
    <x v="3"/>
    <x v="13"/>
    <x v="9"/>
  </r>
  <r>
    <x v="1"/>
    <s v="7.4"/>
    <s v="Comercialização"/>
    <s v="Marketing"/>
    <m/>
    <x v="1"/>
    <m/>
    <n v="6600"/>
    <m/>
    <x v="1"/>
    <x v="0"/>
    <x v="0"/>
    <x v="1"/>
  </r>
  <r>
    <x v="2"/>
    <s v="7.4.1"/>
    <s v="Comercialização"/>
    <s v="Agencia de Comunicação"/>
    <s v="mês"/>
    <x v="5"/>
    <n v="200"/>
    <n v="2200"/>
    <s v="Variável"/>
    <x v="5"/>
    <x v="3"/>
    <x v="13"/>
    <x v="9"/>
  </r>
  <r>
    <x v="2"/>
    <s v="7.4.2"/>
    <s v="Comercialização"/>
    <s v="Mídia Convencional"/>
    <s v="mês"/>
    <x v="5"/>
    <n v="200"/>
    <n v="2200"/>
    <s v="Variável"/>
    <x v="5"/>
    <x v="3"/>
    <x v="13"/>
    <x v="9"/>
  </r>
  <r>
    <x v="2"/>
    <s v="7.4.3"/>
    <s v="Comercialização"/>
    <s v="Mídia Digital"/>
    <s v="mês"/>
    <x v="5"/>
    <n v="200"/>
    <n v="2200"/>
    <s v="Variável"/>
    <x v="5"/>
    <x v="3"/>
    <x v="13"/>
    <x v="9"/>
  </r>
  <r>
    <x v="1"/>
    <s v="7.5"/>
    <s v="Comercialização"/>
    <s v="Entrega dos Apartamentos"/>
    <m/>
    <x v="1"/>
    <m/>
    <n v="7400"/>
    <m/>
    <x v="1"/>
    <x v="0"/>
    <x v="0"/>
    <x v="1"/>
  </r>
  <r>
    <x v="2"/>
    <s v="7.5.1"/>
    <s v="Comercialização"/>
    <s v="Evento de Vistorias"/>
    <s v="vb"/>
    <x v="0"/>
    <n v="2500"/>
    <n v="2500"/>
    <s v="Fixo"/>
    <x v="4"/>
    <x v="2"/>
    <x v="19"/>
    <x v="8"/>
  </r>
  <r>
    <x v="2"/>
    <s v="7.5.2"/>
    <s v="Comercialização"/>
    <s v="Evento de entrega das chaves"/>
    <s v="vb"/>
    <x v="0"/>
    <n v="2500"/>
    <n v="2500"/>
    <s v="Fixo"/>
    <x v="4"/>
    <x v="2"/>
    <x v="19"/>
    <x v="8"/>
  </r>
  <r>
    <x v="2"/>
    <s v="7.5.3"/>
    <s v="Comercialização"/>
    <s v="Chaves e Acionadores de Portão "/>
    <s v="apto"/>
    <x v="7"/>
    <n v="50"/>
    <n v="800"/>
    <s v="Fixo"/>
    <x v="4"/>
    <x v="2"/>
    <x v="19"/>
    <x v="8"/>
  </r>
  <r>
    <x v="2"/>
    <s v="7.5.4"/>
    <s v="Comercialização"/>
    <s v="Manuais "/>
    <s v="apto"/>
    <x v="7"/>
    <n v="50"/>
    <n v="800"/>
    <s v="Fixo"/>
    <x v="4"/>
    <x v="2"/>
    <x v="19"/>
    <x v="8"/>
  </r>
  <r>
    <x v="2"/>
    <s v="7.5.5"/>
    <s v="Comercialização"/>
    <s v="Brindes"/>
    <s v="apto"/>
    <x v="7"/>
    <n v="50"/>
    <n v="800"/>
    <s v="Fixo"/>
    <x v="4"/>
    <x v="2"/>
    <x v="19"/>
    <x v="8"/>
  </r>
  <r>
    <x v="1"/>
    <s v="7.6"/>
    <s v="Comercialização"/>
    <s v="Custo dos Clientes"/>
    <m/>
    <x v="1"/>
    <m/>
    <n v="19200"/>
    <m/>
    <x v="1"/>
    <x v="0"/>
    <x v="0"/>
    <x v="1"/>
  </r>
  <r>
    <x v="2"/>
    <s v="7.6.1"/>
    <s v="Comercialização"/>
    <s v="ITBI Clientes"/>
    <s v="apto"/>
    <x v="7"/>
    <n v="600"/>
    <n v="9600"/>
    <s v="Variável"/>
    <x v="6"/>
    <x v="0"/>
    <x v="0"/>
    <x v="14"/>
  </r>
  <r>
    <x v="2"/>
    <s v="7.6.2"/>
    <s v="Comercialização"/>
    <s v="Registro de Imóveis Clientes"/>
    <s v="apto"/>
    <x v="7"/>
    <n v="600"/>
    <n v="9600"/>
    <s v="Variável"/>
    <x v="6"/>
    <x v="0"/>
    <x v="0"/>
    <x v="14"/>
  </r>
  <r>
    <x v="1"/>
    <n v="8"/>
    <s v="Terreno"/>
    <s v="Terreno"/>
    <m/>
    <x v="1"/>
    <m/>
    <n v="100000"/>
    <m/>
    <x v="1"/>
    <x v="0"/>
    <x v="0"/>
    <x v="1"/>
  </r>
  <r>
    <x v="1"/>
    <s v="8.1"/>
    <s v="Terreno"/>
    <s v="Aquisição do Terreno"/>
    <m/>
    <x v="1"/>
    <m/>
    <m/>
    <m/>
    <x v="1"/>
    <x v="0"/>
    <x v="0"/>
    <x v="1"/>
  </r>
  <r>
    <x v="2"/>
    <s v="8.1.2"/>
    <s v="Terreno"/>
    <s v="Aquisição do terreno"/>
    <s v="vb"/>
    <x v="0"/>
    <n v="100000"/>
    <n v="100000"/>
    <s v="Fixo"/>
    <x v="3"/>
    <x v="2"/>
    <x v="20"/>
    <x v="12"/>
  </r>
  <r>
    <x v="2"/>
    <s v="8.1.3"/>
    <s v="Terreno"/>
    <s v="Remuneração do proprietário do terreno"/>
    <s v="vb"/>
    <x v="1"/>
    <m/>
    <m/>
    <m/>
    <x v="1"/>
    <x v="0"/>
    <x v="0"/>
    <x v="1"/>
  </r>
  <r>
    <x v="2"/>
    <s v="8.1.4"/>
    <s v="Terreno"/>
    <s v="Reembolso aos investidores do terreno"/>
    <s v="vb"/>
    <x v="1"/>
    <m/>
    <m/>
    <m/>
    <x v="1"/>
    <x v="0"/>
    <x v="0"/>
    <x v="1"/>
  </r>
  <r>
    <x v="2"/>
    <s v="8.1.5"/>
    <s v="Terreno"/>
    <s v="Comissão de venda terreno"/>
    <s v="vb"/>
    <x v="1"/>
    <m/>
    <m/>
    <m/>
    <x v="1"/>
    <x v="0"/>
    <x v="0"/>
    <x v="1"/>
  </r>
  <r>
    <x v="2"/>
    <s v="8.1.6"/>
    <s v="Terreno"/>
    <s v="Correção valor do terreno (INCC) "/>
    <s v="mês"/>
    <x v="1"/>
    <m/>
    <m/>
    <m/>
    <x v="1"/>
    <x v="0"/>
    <x v="0"/>
    <x v="1"/>
  </r>
  <r>
    <x v="2"/>
    <s v="8.1.7"/>
    <s v="Terreno"/>
    <s v="ITBI "/>
    <s v="vb"/>
    <x v="1"/>
    <m/>
    <m/>
    <m/>
    <x v="1"/>
    <x v="0"/>
    <x v="0"/>
    <x v="1"/>
  </r>
  <r>
    <x v="1"/>
    <s v="8.2"/>
    <s v="Terreno"/>
    <s v="Regularização do Terreno"/>
    <m/>
    <x v="1"/>
    <m/>
    <m/>
    <m/>
    <x v="1"/>
    <x v="0"/>
    <x v="0"/>
    <x v="1"/>
  </r>
  <r>
    <x v="2"/>
    <s v="8.2.1"/>
    <s v="Terreno"/>
    <s v="Horas Técnicas de Advogado "/>
    <s v="horas"/>
    <x v="1"/>
    <m/>
    <m/>
    <m/>
    <x v="1"/>
    <x v="0"/>
    <x v="0"/>
    <x v="1"/>
  </r>
  <r>
    <x v="2"/>
    <s v="8.2.2"/>
    <s v="Terreno"/>
    <s v="Regularização (custo de desocupação) do terreno"/>
    <s v="vb"/>
    <x v="1"/>
    <m/>
    <m/>
    <m/>
    <x v="1"/>
    <x v="0"/>
    <x v="0"/>
    <x v="1"/>
  </r>
  <r>
    <x v="2"/>
    <s v="8.2.3"/>
    <s v="Terreno"/>
    <s v="Pagamento de IPTU atrasado"/>
    <s v="vb"/>
    <x v="1"/>
    <m/>
    <m/>
    <m/>
    <x v="1"/>
    <x v="0"/>
    <x v="0"/>
    <x v="1"/>
  </r>
  <r>
    <x v="1"/>
    <s v="8.3"/>
    <s v="Terreno"/>
    <s v="Despesas Iniciais do Terreno"/>
    <m/>
    <x v="1"/>
    <m/>
    <m/>
    <m/>
    <x v="1"/>
    <x v="0"/>
    <x v="0"/>
    <x v="1"/>
  </r>
  <r>
    <x v="2"/>
    <s v="8.3.1"/>
    <s v="Terreno"/>
    <s v="Limpeza Inicial do Terreno"/>
    <s v="vb"/>
    <x v="1"/>
    <m/>
    <m/>
    <m/>
    <x v="1"/>
    <x v="0"/>
    <x v="0"/>
    <x v="1"/>
  </r>
  <r>
    <x v="2"/>
    <s v="8.3.2"/>
    <s v="Terreno"/>
    <s v="Demolição"/>
    <s v="vb"/>
    <x v="1"/>
    <m/>
    <m/>
    <m/>
    <x v="1"/>
    <x v="0"/>
    <x v="0"/>
    <x v="1"/>
  </r>
  <r>
    <x v="2"/>
    <s v="8.3.3"/>
    <s v="Terreno"/>
    <s v="Fechamento/Cercamento"/>
    <s v="vb"/>
    <x v="1"/>
    <m/>
    <m/>
    <m/>
    <x v="1"/>
    <x v="0"/>
    <x v="0"/>
    <x v="1"/>
  </r>
  <r>
    <x v="1"/>
    <s v="8.4"/>
    <s v="Terreno"/>
    <s v="Cmpra de Inície Construtivo"/>
    <m/>
    <x v="1"/>
    <m/>
    <m/>
    <m/>
    <x v="1"/>
    <x v="0"/>
    <x v="0"/>
    <x v="1"/>
  </r>
  <r>
    <x v="2"/>
    <s v="8.4.1"/>
    <s v="Terreno"/>
    <s v="Compra de Índice Construtivo"/>
    <s v="vb"/>
    <x v="1"/>
    <m/>
    <m/>
    <m/>
    <x v="1"/>
    <x v="0"/>
    <x v="0"/>
    <x v="1"/>
  </r>
  <r>
    <x v="1"/>
    <s v="8.5"/>
    <s v="Terreno"/>
    <s v="Despesas Mensais do Terreno"/>
    <m/>
    <x v="1"/>
    <m/>
    <m/>
    <m/>
    <x v="1"/>
    <x v="0"/>
    <x v="0"/>
    <x v="1"/>
  </r>
  <r>
    <x v="2"/>
    <s v="8.5.1"/>
    <s v="Terreno"/>
    <s v="Manutenção do terreno pré-obra (limpeza)"/>
    <s v="mês"/>
    <x v="1"/>
    <m/>
    <m/>
    <m/>
    <x v="1"/>
    <x v="0"/>
    <x v="0"/>
    <x v="1"/>
  </r>
  <r>
    <x v="2"/>
    <s v="8.5.2"/>
    <s v="Terreno"/>
    <s v="IPTU do Terreno (após a compra)"/>
    <s v="mês"/>
    <x v="1"/>
    <m/>
    <m/>
    <m/>
    <x v="1"/>
    <x v="0"/>
    <x v="0"/>
    <x v="1"/>
  </r>
  <r>
    <x v="2"/>
    <s v="8.5.3"/>
    <s v="Terreno"/>
    <s v="Conta de Água do Terreno"/>
    <s v="mês"/>
    <x v="1"/>
    <m/>
    <m/>
    <m/>
    <x v="1"/>
    <x v="0"/>
    <x v="0"/>
    <x v="1"/>
  </r>
  <r>
    <x v="2"/>
    <s v="8.5.4"/>
    <s v="Terreno"/>
    <s v="Conta de Luz do Terreno "/>
    <s v="mês"/>
    <x v="1"/>
    <m/>
    <m/>
    <m/>
    <x v="1"/>
    <x v="0"/>
    <x v="0"/>
    <x v="1"/>
  </r>
  <r>
    <x v="2"/>
    <s v="8.5.5"/>
    <s v="Terreno"/>
    <s v="Vigia do Terreno"/>
    <s v="mês"/>
    <x v="1"/>
    <m/>
    <m/>
    <m/>
    <x v="1"/>
    <x v="0"/>
    <x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577D53-6E87-4FB8-AC69-683B072E7F46}" name="Tabela dinâmica1" cacheId="43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B10" firstHeaderRow="1" firstDataRow="1" firstDataCol="1"/>
  <pivotFields count="13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9">
        <item x="3"/>
        <item m="1" x="7"/>
        <item x="4"/>
        <item x="6"/>
        <item h="1" x="1"/>
        <item x="0"/>
        <item x="2"/>
        <item x="5"/>
        <item t="default"/>
      </items>
    </pivotField>
    <pivotField showAll="0"/>
    <pivotField showAll="0"/>
  </pivotFields>
  <rowFields count="1">
    <field x="10"/>
  </rowFields>
  <rowItems count="7">
    <i>
      <x/>
    </i>
    <i>
      <x v="2"/>
    </i>
    <i>
      <x v="3"/>
    </i>
    <i>
      <x v="5"/>
    </i>
    <i>
      <x v="6"/>
    </i>
    <i>
      <x v="7"/>
    </i>
    <i t="grand">
      <x/>
    </i>
  </rowItems>
  <colItems count="1">
    <i/>
  </colItems>
  <dataFields count="1">
    <dataField name="Soma de Total" fld="8" baseField="0" baseItem="0" numFmtId="164"/>
  </dataFields>
  <formats count="2">
    <format dxfId="31">
      <pivotArea outline="0" collapsedLevelsAreSubtotals="1" fieldPosition="0"/>
    </format>
    <format dxfId="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54A84F-15C7-435A-8BB3-AC8389A5ACF1}" name="Tabela dinâmica7" cacheId="44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P12" firstHeaderRow="1" firstDataRow="2" firstDataCol="1" rowPageCount="1" colPageCount="1"/>
  <pivotFields count="13">
    <pivotField axis="axisRow" showAll="0">
      <items count="4">
        <item x="0"/>
        <item sd="0" x="2"/>
        <item x="1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9">
        <item x="0"/>
        <item x="4"/>
        <item x="6"/>
        <item x="2"/>
        <item x="3"/>
        <item x="5"/>
        <item x="7"/>
        <item h="1" x="1"/>
        <item t="default"/>
      </items>
    </pivotField>
    <pivotField showAll="0"/>
    <pivotField dataField="1" showAll="0"/>
    <pivotField showAll="0"/>
    <pivotField axis="axisRow" showAll="0">
      <items count="8">
        <item x="3"/>
        <item x="0"/>
        <item x="5"/>
        <item x="2"/>
        <item x="4"/>
        <item x="6"/>
        <item x="1"/>
        <item t="default"/>
      </items>
    </pivotField>
    <pivotField showAll="0"/>
    <pivotField showAll="0"/>
    <pivotField axis="axisCol" showAll="0">
      <items count="17">
        <item x="9"/>
        <item x="14"/>
        <item x="2"/>
        <item x="12"/>
        <item x="7"/>
        <item x="11"/>
        <item x="3"/>
        <item x="4"/>
        <item x="10"/>
        <item x="5"/>
        <item x="6"/>
        <item x="13"/>
        <item x="8"/>
        <item x="1"/>
        <item m="1" x="15"/>
        <item x="0"/>
        <item t="default"/>
      </items>
    </pivotField>
  </pivotFields>
  <rowFields count="2">
    <field x="0"/>
    <field x="9"/>
  </rowFields>
  <rowItems count="8">
    <i>
      <x/>
    </i>
    <i r="1">
      <x/>
    </i>
    <i r="1">
      <x v="1"/>
    </i>
    <i r="1">
      <x v="2"/>
    </i>
    <i r="1">
      <x v="3"/>
    </i>
    <i r="1">
      <x v="4"/>
    </i>
    <i>
      <x v="1"/>
    </i>
    <i t="grand">
      <x/>
    </i>
  </rowItems>
  <colFields count="1">
    <field x="12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5"/>
    </i>
    <i t="grand">
      <x/>
    </i>
  </colItems>
  <pageFields count="1">
    <pageField fld="5" hier="-1"/>
  </pageFields>
  <dataFields count="1">
    <dataField name="Soma de Total" fld="7" baseField="0" baseItem="0" numFmtId="164"/>
  </dataFields>
  <formats count="7">
    <format dxfId="6">
      <pivotArea outline="0" collapsedLevelsAreSubtotals="1" fieldPosition="0"/>
    </format>
    <format dxfId="5">
      <pivotArea dataOnly="0" labelOnly="1" outline="0" fieldPosition="0">
        <references count="1">
          <reference field="5" count="0"/>
        </references>
      </pivotArea>
    </format>
    <format dxfId="4">
      <pivotArea field="1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grandCol="1" outline="0" fieldPosition="0"/>
    </format>
    <format dxfId="1">
      <pivotArea outline="0" collapsedLevelsAreSubtotals="1" fieldPosition="0"/>
    </format>
    <format dxfId="0">
      <pivotArea collapsedLevelsAreSubtotals="1" fieldPosition="0">
        <references count="3">
          <reference field="0" count="1" selected="0">
            <x v="0"/>
          </reference>
          <reference field="9" count="1">
            <x v="3"/>
          </reference>
          <reference field="12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585A24-7734-479D-AF30-94AB25578C8D}" name="Tabela dinâmica8" cacheId="44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21:C29" firstHeaderRow="0" firstDataRow="1" firstDataCol="1" rowPageCount="2" colPageCount="1"/>
  <pivotFields count="13"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axis="axisPage" showAll="0">
      <items count="8">
        <item x="3"/>
        <item x="0"/>
        <item x="5"/>
        <item x="2"/>
        <item x="4"/>
        <item x="6"/>
        <item x="1"/>
        <item t="default"/>
      </items>
    </pivotField>
    <pivotField axis="axisPage" showAll="0">
      <items count="5">
        <item x="2"/>
        <item x="1"/>
        <item x="3"/>
        <item x="0"/>
        <item t="default"/>
      </items>
    </pivotField>
    <pivotField axis="axisRow" showAll="0">
      <items count="22">
        <item x="5"/>
        <item x="16"/>
        <item x="2"/>
        <item x="3"/>
        <item x="12"/>
        <item x="19"/>
        <item x="15"/>
        <item x="9"/>
        <item x="10"/>
        <item x="14"/>
        <item x="1"/>
        <item x="11"/>
        <item x="6"/>
        <item x="7"/>
        <item x="8"/>
        <item x="13"/>
        <item x="17"/>
        <item x="4"/>
        <item x="20"/>
        <item x="18"/>
        <item h="1" x="0"/>
        <item t="default"/>
      </items>
    </pivotField>
    <pivotField showAll="0"/>
  </pivotFields>
  <rowFields count="1">
    <field x="11"/>
  </rowFields>
  <rowItems count="8">
    <i>
      <x/>
    </i>
    <i>
      <x v="1"/>
    </i>
    <i>
      <x v="3"/>
    </i>
    <i>
      <x v="7"/>
    </i>
    <i>
      <x v="8"/>
    </i>
    <i>
      <x v="10"/>
    </i>
    <i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9" item="3" hier="-1"/>
    <pageField fld="10" hier="-1"/>
  </pageFields>
  <dataFields count="2">
    <dataField name="Mín. de Valor Unit" fld="6" subtotal="min" baseField="11" baseItem="3"/>
    <dataField name="Soma de Total" fld="7" baseField="0" baseItem="0"/>
  </dataFields>
  <formats count="1">
    <format dxfId="7">
      <pivotArea collapsedLevelsAreSubtotals="1" fieldPosition="0">
        <references count="1">
          <reference field="11" count="7">
            <x v="0"/>
            <x v="1"/>
            <x v="3"/>
            <x v="7"/>
            <x v="8"/>
            <x v="10"/>
            <x v="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660EAA-9F24-440B-A7FA-92BCE72B1F7D}" name="Tabela dinâmica1" cacheId="43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B15" firstHeaderRow="1" firstDataRow="1" firstDataCol="1"/>
  <pivotFields count="13"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9">
        <item x="3"/>
        <item m="1" x="7"/>
        <item x="4"/>
        <item x="6"/>
        <item h="1" x="1"/>
        <item x="0"/>
        <item x="2"/>
        <item x="5"/>
        <item t="default"/>
      </items>
    </pivotField>
    <pivotField showAll="0"/>
    <pivotField showAll="0"/>
  </pivotFields>
  <rowFields count="2">
    <field x="1"/>
    <field x="10"/>
  </rowFields>
  <rowItems count="12">
    <i>
      <x/>
    </i>
    <i r="1">
      <x/>
    </i>
    <i r="1">
      <x v="2"/>
    </i>
    <i r="1">
      <x v="5"/>
    </i>
    <i r="1">
      <x v="6"/>
    </i>
    <i r="1">
      <x v="7"/>
    </i>
    <i>
      <x v="1"/>
    </i>
    <i r="1">
      <x/>
    </i>
    <i r="1">
      <x v="2"/>
    </i>
    <i r="1">
      <x v="3"/>
    </i>
    <i r="1">
      <x v="7"/>
    </i>
    <i t="grand">
      <x/>
    </i>
  </rowItems>
  <colItems count="1">
    <i/>
  </colItems>
  <dataFields count="1">
    <dataField name="Soma de Total" fld="8" baseField="0" baseItem="0" numFmtId="164"/>
  </dataFields>
  <formats count="2">
    <format dxfId="29">
      <pivotArea outline="0" collapsedLevelsAreSubtotals="1" fieldPosition="0"/>
    </format>
    <format dxfId="2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D721DF-979A-4C3D-AF1C-62FC0C042B66}" name="Tabela dinâmica3" cacheId="42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D35" firstHeaderRow="1" firstDataRow="2" firstDataCol="1" rowPageCount="1" colPageCount="1"/>
  <pivotFields count="10">
    <pivotField showAll="0"/>
    <pivotField axis="axisPage" showAll="0">
      <items count="5">
        <item x="0"/>
        <item x="2"/>
        <item x="1"/>
        <item x="3"/>
        <item t="default"/>
      </items>
    </pivotField>
    <pivotField showAll="0"/>
    <pivotField axis="axisRow" showAll="0">
      <items count="32">
        <item x="27"/>
        <item x="6"/>
        <item x="12"/>
        <item x="28"/>
        <item x="17"/>
        <item x="14"/>
        <item x="20"/>
        <item x="2"/>
        <item x="7"/>
        <item x="15"/>
        <item x="16"/>
        <item x="13"/>
        <item x="4"/>
        <item x="8"/>
        <item x="1"/>
        <item x="21"/>
        <item x="24"/>
        <item x="30"/>
        <item x="25"/>
        <item x="19"/>
        <item x="22"/>
        <item x="23"/>
        <item x="29"/>
        <item x="9"/>
        <item x="18"/>
        <item x="10"/>
        <item x="26"/>
        <item x="3"/>
        <item x="0"/>
        <item x="5"/>
        <item x="11"/>
        <item t="default"/>
      </items>
    </pivotField>
    <pivotField showAll="0"/>
    <pivotField showAll="0"/>
    <pivotField showAll="0"/>
    <pivotField numFmtId="4" showAll="0"/>
    <pivotField dataField="1" numFmtId="4" showAll="0"/>
    <pivotField axis="axisCol" showAll="0">
      <items count="5">
        <item x="3"/>
        <item x="2"/>
        <item x="1"/>
        <item x="0"/>
        <item t="default"/>
      </items>
    </pivotField>
  </pivotFields>
  <rowFields count="1">
    <field x="3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9"/>
    </i>
    <i>
      <x v="30"/>
    </i>
    <i t="grand">
      <x/>
    </i>
  </rowItems>
  <colFields count="1">
    <field x="9"/>
  </colFields>
  <colItems count="3">
    <i>
      <x v="1"/>
    </i>
    <i>
      <x v="2"/>
    </i>
    <i t="grand">
      <x/>
    </i>
  </colItems>
  <pageFields count="1">
    <pageField fld="1" item="1" hier="-1"/>
  </pageFields>
  <dataFields count="1">
    <dataField name="Soma de R$ total" fld="8" showDataAs="percentOfRow" baseField="3" baseItem="0" numFmtId="10"/>
  </dataFields>
  <formats count="14">
    <format dxfId="27">
      <pivotArea outline="0" collapsedLevelsAreSubtotals="1" fieldPosition="0"/>
    </format>
    <format dxfId="26">
      <pivotArea dataOnly="0" labelOnly="1" outline="0" fieldPosition="0">
        <references count="1">
          <reference field="1" count="1">
            <x v="1"/>
          </reference>
        </references>
      </pivotArea>
    </format>
    <format dxfId="25">
      <pivotArea field="9" type="button" dataOnly="0" labelOnly="1" outline="0" axis="axisCol" fieldPosition="0"/>
    </format>
    <format dxfId="24">
      <pivotArea type="topRight" dataOnly="0" labelOnly="1" outline="0" fieldPosition="0"/>
    </format>
    <format dxfId="23">
      <pivotArea dataOnly="0" labelOnly="1" fieldPosition="0">
        <references count="1">
          <reference field="9" count="2">
            <x v="1"/>
            <x v="2"/>
          </reference>
        </references>
      </pivotArea>
    </format>
    <format dxfId="22">
      <pivotArea dataOnly="0" labelOnly="1" grandCol="1" outline="0" fieldPosition="0"/>
    </format>
    <format dxfId="21">
      <pivotArea outline="0" collapsedLevelsAreSubtotals="1" fieldPosition="0"/>
    </format>
    <format dxfId="20">
      <pivotArea dataOnly="0" labelOnly="1" grandCol="1" outline="0" fieldPosition="0"/>
    </format>
    <format dxfId="19">
      <pivotArea outline="0" collapsedLevelsAreSubtotals="1" fieldPosition="0">
        <references count="1">
          <reference field="9" count="2" selected="0">
            <x v="1"/>
            <x v="2"/>
          </reference>
        </references>
      </pivotArea>
    </format>
    <format dxfId="18">
      <pivotArea dataOnly="0" labelOnly="1" outline="0" fieldPosition="0">
        <references count="1">
          <reference field="1" count="1">
            <x v="1"/>
          </reference>
        </references>
      </pivotArea>
    </format>
    <format dxfId="17">
      <pivotArea field="9" type="button" dataOnly="0" labelOnly="1" outline="0" axis="axisCol" fieldPosition="0"/>
    </format>
    <format dxfId="16">
      <pivotArea type="topRight" dataOnly="0" labelOnly="1" outline="0" fieldPosition="0"/>
    </format>
    <format dxfId="15">
      <pivotArea dataOnly="0" labelOnly="1" fieldPosition="0">
        <references count="1">
          <reference field="9" count="2">
            <x v="1"/>
            <x v="2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C4B246-77CE-48FA-BF03-9067309B405D}" name="Tabela dinâmica1" cacheId="39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B44" firstHeaderRow="1" firstDataRow="1" firstDataCol="1" rowPageCount="1" colPageCount="1"/>
  <pivotFields count="14"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axis="axisRow" numFmtId="1" showAll="0">
      <items count="41">
        <item x="0"/>
        <item x="1"/>
        <item x="2"/>
        <item x="3"/>
        <item x="4"/>
        <item x="6"/>
        <item x="11"/>
        <item x="7"/>
        <item x="12"/>
        <item x="8"/>
        <item x="13"/>
        <item x="9"/>
        <item x="10"/>
        <item x="5"/>
        <item x="14"/>
        <item x="16"/>
        <item x="15"/>
        <item x="17"/>
        <item x="19"/>
        <item x="20"/>
        <item x="18"/>
        <item x="22"/>
        <item x="21"/>
        <item x="24"/>
        <item x="23"/>
        <item x="25"/>
        <item x="26"/>
        <item x="28"/>
        <item x="27"/>
        <item x="29"/>
        <item x="30"/>
        <item x="31"/>
        <item x="33"/>
        <item x="34"/>
        <item x="35"/>
        <item x="32"/>
        <item x="36"/>
        <item x="38"/>
        <item x="37"/>
        <item x="39"/>
        <item t="default"/>
      </items>
    </pivotField>
    <pivotField showAll="0"/>
    <pivotField dataField="1" numFmtId="164" showAll="0"/>
    <pivotField showAll="0"/>
  </pivotFields>
  <rowFields count="1">
    <field x="10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 t="grand">
      <x/>
    </i>
  </rowItems>
  <colItems count="1">
    <i/>
  </colItems>
  <pageFields count="1">
    <pageField fld="1" item="0" hier="-1"/>
  </pageFields>
  <dataFields count="1">
    <dataField name="Soma de Costs" fld="12" baseField="0" baseItem="0" numFmtId="164"/>
  </dataFields>
  <formats count="2">
    <format dxfId="13">
      <pivotArea outline="0" collapsedLevelsAreSubtotals="1" fieldPosition="0"/>
    </format>
    <format dxfId="1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191180-68AD-4B33-9EEB-D26E10EFCB85}" name="Tabela dinâmica2" cacheId="4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B44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axis="axisRow" numFmtId="1" showAll="0">
      <items count="41">
        <item x="0"/>
        <item x="1"/>
        <item x="2"/>
        <item x="3"/>
        <item x="4"/>
        <item x="6"/>
        <item x="11"/>
        <item x="7"/>
        <item x="12"/>
        <item x="8"/>
        <item x="13"/>
        <item x="9"/>
        <item x="10"/>
        <item x="5"/>
        <item x="14"/>
        <item x="16"/>
        <item x="15"/>
        <item x="17"/>
        <item x="19"/>
        <item x="20"/>
        <item x="18"/>
        <item x="22"/>
        <item x="21"/>
        <item x="24"/>
        <item x="23"/>
        <item x="25"/>
        <item x="26"/>
        <item x="28"/>
        <item x="27"/>
        <item x="29"/>
        <item x="30"/>
        <item x="31"/>
        <item x="33"/>
        <item x="34"/>
        <item x="35"/>
        <item x="32"/>
        <item x="36"/>
        <item x="38"/>
        <item x="37"/>
        <item x="39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dataField="1" showAll="0"/>
  </pivotFields>
  <rowFields count="1">
    <field x="10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 t="grand">
      <x/>
    </i>
  </rowItems>
  <colItems count="1">
    <i/>
  </colItems>
  <dataFields count="1">
    <dataField name="Soma de Executado" fld="1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3984E0-4761-430A-AD84-B081700CC148}" name="Tabela dinâmica12" cacheId="4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D3:E17" firstHeaderRow="1" firstDataRow="1" firstDataCol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Row" showAll="0" defaultSubtotal="0">
      <items count="4">
        <item sd="0" x="0"/>
        <item x="1"/>
        <item x="2"/>
        <item sd="0" x="3"/>
      </items>
    </pivotField>
  </pivotFields>
  <rowFields count="2">
    <field x="36"/>
    <field x="32"/>
  </rowFields>
  <rowItems count="14">
    <i>
      <x/>
    </i>
    <i>
      <x v="1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Items count="1">
    <i/>
  </colItems>
  <dataFields count="1">
    <dataField name="Soma de R$ MO" fld="2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873187-CF05-4A95-9565-0F0883053D46}" name="Tabela dinâmica11" cacheId="4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B17" firstHeaderRow="1" firstDataRow="1" firstDataCol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 defaultSubtotal="0">
      <items count="6">
        <item sd="0" x="0"/>
        <item sd="0" x="1"/>
        <item sd="0" x="2"/>
        <item sd="0" x="3"/>
        <item sd="0" x="4"/>
        <item sd="0" x="5"/>
      </items>
    </pivotField>
    <pivotField axis="axisRow" showAll="0" defaultSubtotal="0">
      <items count="4">
        <item sd="0" x="0"/>
        <item x="1"/>
        <item x="2"/>
        <item sd="0" x="3"/>
      </items>
    </pivotField>
    <pivotField showAll="0" defaultSubtotal="0"/>
    <pivotField showAll="0" defaultSubtotal="0"/>
  </pivotFields>
  <rowFields count="2">
    <field x="34"/>
    <field x="31"/>
  </rowFields>
  <rowItems count="14">
    <i>
      <x/>
    </i>
    <i>
      <x v="1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t="grand">
      <x/>
    </i>
  </rowItems>
  <colItems count="1">
    <i/>
  </colItems>
  <dataFields count="1">
    <dataField name="Soma de R$ MAT" fld="3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6D58CF-A4BE-4140-AA2E-6387D53DEF38}" name="Tabela dinâmica5" cacheId="4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D3:E17" firstHeaderRow="1" firstDataRow="1" firstDataCol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defaultSubtotal="0"/>
    <pivotField showAll="0" defaultSubtotal="0"/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5">
        <item sd="0" x="0"/>
        <item x="1"/>
        <item x="2"/>
        <item sd="0" x="3"/>
        <item t="default"/>
      </items>
    </pivotField>
  </pivotFields>
  <rowFields count="2">
    <field x="36"/>
    <field x="32"/>
  </rowFields>
  <rowItems count="14">
    <i>
      <x/>
    </i>
    <i>
      <x v="1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Items count="1">
    <i/>
  </colItems>
  <dataFields count="1">
    <dataField name="Soma de R$ MO" fld="29" baseField="0" baseItem="0" numFmtId="164"/>
  </dataFields>
  <formats count="2">
    <format dxfId="9">
      <pivotArea outline="0" collapsedLevelsAreSubtotals="1" fieldPosition="0"/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B292CF-29DA-4BDD-B00A-F841D3986818}" name="Tabela dinâmica4" cacheId="4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B18" firstHeaderRow="1" firstDataRow="1" firstDataCol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/>
    <pivotField numFmtId="166" showAll="0"/>
    <pivotField numFmtId="1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5">
        <item x="0"/>
        <item x="1"/>
        <item x="2"/>
        <item sd="0" x="3"/>
        <item t="default"/>
      </items>
    </pivotField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5">
        <item x="0"/>
        <item x="1"/>
        <item x="2"/>
        <item x="3"/>
        <item t="default"/>
      </items>
    </pivotField>
  </pivotFields>
  <rowFields count="2">
    <field x="34"/>
    <field x="31"/>
  </rowFields>
  <rowItems count="15">
    <i>
      <x/>
    </i>
    <i r="1">
      <x/>
    </i>
    <i>
      <x v="1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t="grand">
      <x/>
    </i>
  </rowItems>
  <colItems count="1">
    <i/>
  </colItems>
  <dataFields count="1">
    <dataField name="Soma de R$ MAT" fld="30" baseField="0" baseItem="0" numFmtId="164"/>
  </dataFields>
  <formats count="2">
    <format dxfId="11">
      <pivotArea outline="0" collapsedLevelsAreSubtotals="1" fieldPosition="0"/>
    </format>
    <format dxfId="1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1B037-9840-4DD3-BCBC-3B42C6714E97}">
  <dimension ref="A1:N214"/>
  <sheetViews>
    <sheetView zoomScale="70" zoomScaleNormal="70" workbookViewId="0">
      <selection activeCell="G1" sqref="G1:G1048576"/>
    </sheetView>
  </sheetViews>
  <sheetFormatPr defaultRowHeight="14.25"/>
  <cols>
    <col min="1" max="1" width="11.5703125" style="154" customWidth="1"/>
    <col min="2" max="2" width="15.28515625" style="154" customWidth="1"/>
    <col min="3" max="3" width="9.140625" style="154"/>
    <col min="4" max="4" width="43.42578125" style="154" customWidth="1"/>
    <col min="5" max="5" width="63.140625" style="194" customWidth="1"/>
    <col min="6" max="6" width="13.28515625" style="154" customWidth="1"/>
    <col min="7" max="7" width="11.5703125" style="154" customWidth="1"/>
    <col min="8" max="8" width="14.28515625" style="162" customWidth="1"/>
    <col min="9" max="9" width="19.85546875" style="213" customWidth="1"/>
    <col min="10" max="10" width="27" style="154" customWidth="1"/>
    <col min="11" max="11" width="30.140625" style="154" customWidth="1"/>
    <col min="12" max="12" width="28.42578125" style="154" customWidth="1"/>
    <col min="13" max="13" width="38.85546875" style="154" customWidth="1"/>
    <col min="14" max="14" width="34.140625" style="216" customWidth="1"/>
    <col min="15" max="15" width="15.5703125" style="158" bestFit="1" customWidth="1"/>
    <col min="16" max="16384" width="9.140625" style="158"/>
  </cols>
  <sheetData>
    <row r="1" spans="1:14" ht="13.5" customHeight="1">
      <c r="A1" s="154" t="s">
        <v>1519</v>
      </c>
      <c r="B1" s="154" t="s">
        <v>965</v>
      </c>
      <c r="C1" s="154" t="s">
        <v>1501</v>
      </c>
      <c r="D1" s="154" t="s">
        <v>1504</v>
      </c>
      <c r="E1" s="194" t="s">
        <v>1500</v>
      </c>
      <c r="F1" s="155" t="s">
        <v>1064</v>
      </c>
      <c r="G1" s="156" t="s">
        <v>1065</v>
      </c>
      <c r="H1" s="157" t="s">
        <v>1066</v>
      </c>
      <c r="I1" s="211" t="s">
        <v>1067</v>
      </c>
      <c r="J1" s="155" t="s">
        <v>1068</v>
      </c>
      <c r="K1" s="155" t="s">
        <v>1069</v>
      </c>
      <c r="L1" s="155" t="s">
        <v>1070</v>
      </c>
      <c r="M1" s="155" t="s">
        <v>1515</v>
      </c>
      <c r="N1" s="214" t="s">
        <v>1528</v>
      </c>
    </row>
    <row r="2" spans="1:14" ht="15" customHeight="1">
      <c r="A2" s="159" t="s">
        <v>1518</v>
      </c>
      <c r="B2" s="159" t="s">
        <v>1520</v>
      </c>
      <c r="C2" s="159">
        <v>1</v>
      </c>
      <c r="D2" s="159" t="s">
        <v>1514</v>
      </c>
      <c r="E2" s="195" t="s">
        <v>1514</v>
      </c>
      <c r="F2" s="159"/>
      <c r="G2" s="159">
        <v>1</v>
      </c>
      <c r="H2" s="163"/>
      <c r="I2" s="212">
        <v>1534647.0000000002</v>
      </c>
      <c r="J2" s="161"/>
      <c r="K2" s="161" t="s">
        <v>1523</v>
      </c>
      <c r="L2" s="161"/>
      <c r="M2" s="161"/>
      <c r="N2" s="215" t="s">
        <v>1554</v>
      </c>
    </row>
    <row r="3" spans="1:14" ht="15" customHeight="1">
      <c r="A3" s="159" t="s">
        <v>1518</v>
      </c>
      <c r="B3" s="159" t="s">
        <v>1520</v>
      </c>
      <c r="C3" s="159">
        <v>2</v>
      </c>
      <c r="D3" s="159" t="s">
        <v>1071</v>
      </c>
      <c r="E3" s="195" t="s">
        <v>1071</v>
      </c>
      <c r="F3" s="159"/>
      <c r="G3" s="159"/>
      <c r="H3" s="163"/>
      <c r="I3" s="212">
        <f>I4+I7+I11+I14+I18+I23+I30+I36</f>
        <v>37200</v>
      </c>
      <c r="J3" s="161"/>
      <c r="K3" s="161"/>
      <c r="L3" s="161"/>
      <c r="M3" s="161"/>
      <c r="N3" s="215"/>
    </row>
    <row r="4" spans="1:14" ht="15" customHeight="1">
      <c r="A4" s="159"/>
      <c r="B4" s="159"/>
      <c r="C4" s="159" t="s">
        <v>1072</v>
      </c>
      <c r="D4" s="159" t="s">
        <v>1071</v>
      </c>
      <c r="E4" s="195" t="s">
        <v>1073</v>
      </c>
      <c r="F4" s="159"/>
      <c r="G4" s="159"/>
      <c r="H4" s="163"/>
      <c r="I4" s="212">
        <f>I5+I6</f>
        <v>11000</v>
      </c>
      <c r="J4" s="161"/>
      <c r="K4" s="161"/>
      <c r="L4" s="161"/>
      <c r="M4" s="161"/>
      <c r="N4" s="215"/>
    </row>
    <row r="5" spans="1:14" ht="15" customHeight="1">
      <c r="B5" s="154" t="s">
        <v>1520</v>
      </c>
      <c r="C5" s="154" t="s">
        <v>1074</v>
      </c>
      <c r="D5" s="154" t="s">
        <v>1071</v>
      </c>
      <c r="E5" s="194" t="s">
        <v>1075</v>
      </c>
      <c r="F5" s="154" t="s">
        <v>1076</v>
      </c>
      <c r="G5" s="197">
        <v>1</v>
      </c>
      <c r="H5" s="162">
        <v>11000</v>
      </c>
      <c r="I5" s="213">
        <f>H5*G5</f>
        <v>11000</v>
      </c>
      <c r="J5" s="154" t="s">
        <v>1077</v>
      </c>
      <c r="K5" s="154" t="s">
        <v>1527</v>
      </c>
      <c r="L5" s="154" t="s">
        <v>1078</v>
      </c>
      <c r="M5" s="154" t="s">
        <v>1079</v>
      </c>
      <c r="N5" s="216" t="s">
        <v>1551</v>
      </c>
    </row>
    <row r="6" spans="1:14" ht="15" customHeight="1">
      <c r="B6" s="154" t="s">
        <v>1520</v>
      </c>
      <c r="C6" s="154" t="s">
        <v>1080</v>
      </c>
      <c r="D6" s="154" t="s">
        <v>1071</v>
      </c>
      <c r="E6" s="194" t="s">
        <v>1081</v>
      </c>
      <c r="F6" s="154" t="s">
        <v>1076</v>
      </c>
      <c r="J6" s="154" t="s">
        <v>1077</v>
      </c>
      <c r="K6" s="154" t="s">
        <v>1527</v>
      </c>
      <c r="L6" s="154" t="s">
        <v>1078</v>
      </c>
    </row>
    <row r="7" spans="1:14" ht="15" customHeight="1">
      <c r="A7" s="159"/>
      <c r="B7" s="159"/>
      <c r="C7" s="159" t="s">
        <v>1082</v>
      </c>
      <c r="D7" s="159" t="s">
        <v>1071</v>
      </c>
      <c r="E7" s="195" t="s">
        <v>1083</v>
      </c>
      <c r="F7" s="159"/>
      <c r="G7" s="159"/>
      <c r="H7" s="163"/>
      <c r="I7" s="212">
        <f>I8+I9+I10</f>
        <v>14000</v>
      </c>
      <c r="J7" s="161"/>
      <c r="K7" s="161"/>
      <c r="L7" s="161"/>
      <c r="M7" s="161"/>
      <c r="N7" s="215"/>
    </row>
    <row r="8" spans="1:14" ht="15" customHeight="1">
      <c r="B8" s="154" t="s">
        <v>1520</v>
      </c>
      <c r="C8" s="154" t="s">
        <v>1084</v>
      </c>
      <c r="D8" s="154" t="s">
        <v>1071</v>
      </c>
      <c r="E8" s="194" t="s">
        <v>1085</v>
      </c>
      <c r="F8" s="154" t="s">
        <v>1086</v>
      </c>
      <c r="G8" s="154">
        <v>1</v>
      </c>
      <c r="H8" s="162">
        <v>1000</v>
      </c>
      <c r="I8" s="213">
        <f t="shared" ref="I8" si="0">H8*G8</f>
        <v>1000</v>
      </c>
      <c r="J8" s="154" t="s">
        <v>1087</v>
      </c>
      <c r="K8" s="154" t="s">
        <v>1088</v>
      </c>
      <c r="L8" s="154" t="s">
        <v>1078</v>
      </c>
      <c r="M8" s="154" t="s">
        <v>1536</v>
      </c>
      <c r="N8" s="216">
        <f>VLOOKUP(M8,'FC - outros'!$B$2:$C$21,2,0)</f>
        <v>44466</v>
      </c>
    </row>
    <row r="9" spans="1:14" ht="15" customHeight="1">
      <c r="B9" s="154" t="s">
        <v>1520</v>
      </c>
      <c r="C9" s="154" t="s">
        <v>1089</v>
      </c>
      <c r="D9" s="154" t="s">
        <v>1071</v>
      </c>
      <c r="E9" s="194" t="s">
        <v>1090</v>
      </c>
      <c r="F9" s="154" t="s">
        <v>1076</v>
      </c>
      <c r="G9" s="197">
        <v>4</v>
      </c>
      <c r="H9" s="162">
        <v>3000</v>
      </c>
      <c r="I9" s="213">
        <f>H9*G9</f>
        <v>12000</v>
      </c>
      <c r="J9" s="154" t="s">
        <v>1077</v>
      </c>
      <c r="K9" s="154" t="s">
        <v>1527</v>
      </c>
      <c r="L9" s="154" t="s">
        <v>1078</v>
      </c>
      <c r="M9" s="154" t="s">
        <v>1538</v>
      </c>
      <c r="N9" s="216" t="s">
        <v>1551</v>
      </c>
    </row>
    <row r="10" spans="1:14" ht="15" customHeight="1">
      <c r="B10" s="154" t="s">
        <v>1520</v>
      </c>
      <c r="C10" s="154" t="s">
        <v>1091</v>
      </c>
      <c r="D10" s="154" t="s">
        <v>1071</v>
      </c>
      <c r="E10" s="194" t="s">
        <v>1092</v>
      </c>
      <c r="F10" s="154" t="s">
        <v>1086</v>
      </c>
      <c r="G10" s="154">
        <v>1</v>
      </c>
      <c r="H10" s="162">
        <v>1000</v>
      </c>
      <c r="I10" s="213">
        <f>H10*G10</f>
        <v>1000</v>
      </c>
      <c r="J10" s="154" t="s">
        <v>1087</v>
      </c>
      <c r="K10" s="154" t="s">
        <v>1093</v>
      </c>
      <c r="L10" s="154" t="s">
        <v>1078</v>
      </c>
      <c r="M10" s="154" t="s">
        <v>1535</v>
      </c>
      <c r="N10" s="216">
        <f>VLOOKUP(M10,'FC - outros'!$B$2:$C$21,2,0)</f>
        <v>44575</v>
      </c>
    </row>
    <row r="11" spans="1:14" ht="15" customHeight="1">
      <c r="A11" s="159"/>
      <c r="B11" s="159"/>
      <c r="C11" s="159" t="s">
        <v>1094</v>
      </c>
      <c r="D11" s="159" t="s">
        <v>1071</v>
      </c>
      <c r="E11" s="195" t="s">
        <v>1095</v>
      </c>
      <c r="F11" s="159"/>
      <c r="G11" s="159"/>
      <c r="H11" s="163"/>
      <c r="I11" s="212">
        <f>I12+I13</f>
        <v>9000</v>
      </c>
      <c r="J11" s="161"/>
      <c r="K11" s="161"/>
      <c r="L11" s="161"/>
      <c r="M11" s="161"/>
      <c r="N11" s="215"/>
    </row>
    <row r="12" spans="1:14" ht="15" customHeight="1">
      <c r="B12" s="154" t="s">
        <v>1520</v>
      </c>
      <c r="C12" s="154" t="s">
        <v>1096</v>
      </c>
      <c r="D12" s="154" t="s">
        <v>1071</v>
      </c>
      <c r="E12" s="194" t="s">
        <v>1097</v>
      </c>
      <c r="F12" s="154" t="s">
        <v>1076</v>
      </c>
      <c r="G12" s="197">
        <v>6</v>
      </c>
      <c r="H12" s="162">
        <v>1500</v>
      </c>
      <c r="I12" s="213">
        <f>H12*G12</f>
        <v>9000</v>
      </c>
      <c r="J12" s="154" t="s">
        <v>1077</v>
      </c>
      <c r="K12" s="154" t="s">
        <v>1527</v>
      </c>
      <c r="L12" s="154" t="s">
        <v>1078</v>
      </c>
      <c r="M12" s="154" t="s">
        <v>1537</v>
      </c>
      <c r="N12" s="216" t="s">
        <v>1551</v>
      </c>
    </row>
    <row r="13" spans="1:14" ht="15" customHeight="1">
      <c r="B13" s="154" t="s">
        <v>1520</v>
      </c>
      <c r="C13" s="154" t="s">
        <v>1098</v>
      </c>
      <c r="D13" s="154" t="s">
        <v>1071</v>
      </c>
      <c r="E13" s="194" t="s">
        <v>1099</v>
      </c>
      <c r="F13" s="154" t="s">
        <v>1076</v>
      </c>
      <c r="J13" s="154" t="s">
        <v>1077</v>
      </c>
      <c r="K13" s="154" t="s">
        <v>1527</v>
      </c>
      <c r="L13" s="154" t="s">
        <v>1078</v>
      </c>
    </row>
    <row r="14" spans="1:14" ht="15" customHeight="1">
      <c r="A14" s="159"/>
      <c r="B14" s="159"/>
      <c r="C14" s="159" t="s">
        <v>1100</v>
      </c>
      <c r="D14" s="159" t="s">
        <v>1071</v>
      </c>
      <c r="E14" s="195" t="s">
        <v>1101</v>
      </c>
      <c r="F14" s="159"/>
      <c r="G14" s="159"/>
      <c r="H14" s="163"/>
      <c r="I14" s="212"/>
      <c r="J14" s="161"/>
      <c r="K14" s="161"/>
      <c r="L14" s="161"/>
      <c r="M14" s="161"/>
      <c r="N14" s="215"/>
    </row>
    <row r="15" spans="1:14" ht="15" customHeight="1">
      <c r="B15" s="154" t="s">
        <v>1520</v>
      </c>
      <c r="C15" s="154" t="s">
        <v>1102</v>
      </c>
      <c r="D15" s="154" t="s">
        <v>1071</v>
      </c>
      <c r="E15" s="194" t="s">
        <v>1103</v>
      </c>
      <c r="F15" s="154" t="s">
        <v>1086</v>
      </c>
      <c r="J15" s="154" t="s">
        <v>1087</v>
      </c>
      <c r="K15" s="154" t="s">
        <v>1088</v>
      </c>
      <c r="L15" s="154" t="s">
        <v>1078</v>
      </c>
    </row>
    <row r="16" spans="1:14" ht="15" customHeight="1">
      <c r="B16" s="154" t="s">
        <v>1520</v>
      </c>
      <c r="C16" s="154" t="s">
        <v>1104</v>
      </c>
      <c r="D16" s="154" t="s">
        <v>1071</v>
      </c>
      <c r="E16" s="194" t="s">
        <v>1105</v>
      </c>
      <c r="F16" s="154" t="s">
        <v>1076</v>
      </c>
      <c r="J16" s="154" t="s">
        <v>1077</v>
      </c>
      <c r="K16" s="154" t="s">
        <v>1527</v>
      </c>
      <c r="L16" s="154" t="s">
        <v>1078</v>
      </c>
    </row>
    <row r="17" spans="1:14" ht="15" customHeight="1">
      <c r="B17" s="154" t="s">
        <v>1520</v>
      </c>
      <c r="C17" s="154" t="s">
        <v>1106</v>
      </c>
      <c r="D17" s="154" t="s">
        <v>1071</v>
      </c>
      <c r="E17" s="194" t="s">
        <v>1107</v>
      </c>
      <c r="F17" s="154" t="s">
        <v>1086</v>
      </c>
      <c r="J17" s="154" t="s">
        <v>1087</v>
      </c>
      <c r="K17" s="154" t="s">
        <v>1093</v>
      </c>
      <c r="L17" s="154" t="s">
        <v>1078</v>
      </c>
    </row>
    <row r="18" spans="1:14" ht="15" customHeight="1">
      <c r="A18" s="159"/>
      <c r="B18" s="159"/>
      <c r="C18" s="159" t="s">
        <v>1108</v>
      </c>
      <c r="D18" s="159" t="s">
        <v>1071</v>
      </c>
      <c r="E18" s="195" t="s">
        <v>1109</v>
      </c>
      <c r="F18" s="159"/>
      <c r="G18" s="159"/>
      <c r="H18" s="163"/>
      <c r="I18" s="212">
        <f>SUM(I19:I22)</f>
        <v>2300</v>
      </c>
      <c r="J18" s="161"/>
      <c r="K18" s="161"/>
      <c r="L18" s="161"/>
      <c r="M18" s="161"/>
      <c r="N18" s="215"/>
    </row>
    <row r="19" spans="1:14" ht="15" customHeight="1">
      <c r="B19" s="154" t="s">
        <v>1520</v>
      </c>
      <c r="C19" s="154" t="s">
        <v>1110</v>
      </c>
      <c r="D19" s="154" t="s">
        <v>1071</v>
      </c>
      <c r="E19" s="194" t="s">
        <v>1111</v>
      </c>
      <c r="F19" s="154" t="s">
        <v>1076</v>
      </c>
      <c r="G19" s="197">
        <v>2</v>
      </c>
      <c r="H19" s="162">
        <v>500</v>
      </c>
      <c r="I19" s="213">
        <f>H19*G19</f>
        <v>1000</v>
      </c>
      <c r="J19" s="154" t="s">
        <v>1077</v>
      </c>
      <c r="K19" s="154" t="s">
        <v>1527</v>
      </c>
      <c r="L19" s="154" t="s">
        <v>1078</v>
      </c>
      <c r="M19" s="154" t="s">
        <v>1118</v>
      </c>
      <c r="N19" s="216" t="s">
        <v>1551</v>
      </c>
    </row>
    <row r="20" spans="1:14" ht="15" customHeight="1">
      <c r="B20" s="154" t="s">
        <v>1520</v>
      </c>
      <c r="C20" s="154" t="s">
        <v>1112</v>
      </c>
      <c r="D20" s="154" t="s">
        <v>1071</v>
      </c>
      <c r="E20" s="194" t="s">
        <v>1113</v>
      </c>
      <c r="F20" s="154" t="s">
        <v>1086</v>
      </c>
      <c r="G20" s="154">
        <v>11</v>
      </c>
      <c r="H20" s="162">
        <v>100</v>
      </c>
      <c r="I20" s="213">
        <f t="shared" ref="I20:I24" si="1">H20*G20</f>
        <v>1100</v>
      </c>
      <c r="J20" s="154" t="s">
        <v>1087</v>
      </c>
      <c r="K20" s="154" t="s">
        <v>1088</v>
      </c>
      <c r="L20" s="154" t="s">
        <v>1078</v>
      </c>
      <c r="M20" s="154" t="s">
        <v>1529</v>
      </c>
      <c r="N20" s="216">
        <f>VLOOKUP(M20,'FC - outros'!$B$2:$C$21,2,0)</f>
        <v>44630</v>
      </c>
    </row>
    <row r="21" spans="1:14" ht="15" customHeight="1">
      <c r="B21" s="154" t="s">
        <v>1520</v>
      </c>
      <c r="C21" s="154" t="s">
        <v>1114</v>
      </c>
      <c r="D21" s="154" t="s">
        <v>1071</v>
      </c>
      <c r="E21" s="194" t="s">
        <v>1115</v>
      </c>
      <c r="F21" s="154" t="s">
        <v>1086</v>
      </c>
      <c r="G21" s="154">
        <v>1</v>
      </c>
      <c r="H21" s="162">
        <v>100</v>
      </c>
      <c r="I21" s="213">
        <f t="shared" si="1"/>
        <v>100</v>
      </c>
      <c r="J21" s="154" t="s">
        <v>1087</v>
      </c>
      <c r="K21" s="154" t="s">
        <v>1088</v>
      </c>
      <c r="L21" s="154" t="s">
        <v>1078</v>
      </c>
      <c r="M21" s="154" t="s">
        <v>1529</v>
      </c>
      <c r="N21" s="216">
        <f>VLOOKUP(M21,'FC - outros'!$B$2:$C$21,2,0)</f>
        <v>44630</v>
      </c>
    </row>
    <row r="22" spans="1:14" ht="15" customHeight="1">
      <c r="B22" s="154" t="s">
        <v>1520</v>
      </c>
      <c r="C22" s="154" t="s">
        <v>1116</v>
      </c>
      <c r="D22" s="154" t="s">
        <v>1071</v>
      </c>
      <c r="E22" s="194" t="s">
        <v>1117</v>
      </c>
      <c r="F22" s="154" t="s">
        <v>1086</v>
      </c>
      <c r="G22" s="154">
        <v>1</v>
      </c>
      <c r="H22" s="162">
        <v>100</v>
      </c>
      <c r="I22" s="213">
        <f t="shared" si="1"/>
        <v>100</v>
      </c>
      <c r="J22" s="154" t="s">
        <v>1087</v>
      </c>
      <c r="K22" s="154" t="s">
        <v>1093</v>
      </c>
      <c r="L22" s="154" t="s">
        <v>1078</v>
      </c>
      <c r="M22" s="154" t="s">
        <v>1530</v>
      </c>
      <c r="N22" s="216">
        <f>VLOOKUP(M22,'FC - outros'!$B$2:$C$21,2,0)</f>
        <v>44672</v>
      </c>
    </row>
    <row r="23" spans="1:14" ht="15" customHeight="1">
      <c r="A23" s="159"/>
      <c r="B23" s="159"/>
      <c r="C23" s="159" t="s">
        <v>1119</v>
      </c>
      <c r="D23" s="159" t="s">
        <v>1071</v>
      </c>
      <c r="E23" s="195" t="s">
        <v>1120</v>
      </c>
      <c r="F23" s="159"/>
      <c r="G23" s="159"/>
      <c r="H23" s="163"/>
      <c r="I23" s="212">
        <f>SUM(I24:I29)</f>
        <v>900</v>
      </c>
      <c r="J23" s="161"/>
      <c r="K23" s="161"/>
      <c r="L23" s="161"/>
      <c r="M23" s="161"/>
      <c r="N23" s="215"/>
    </row>
    <row r="24" spans="1:14" ht="15" customHeight="1">
      <c r="B24" s="154" t="s">
        <v>1520</v>
      </c>
      <c r="C24" s="154" t="s">
        <v>1121</v>
      </c>
      <c r="D24" s="154" t="s">
        <v>1071</v>
      </c>
      <c r="E24" s="194" t="s">
        <v>1122</v>
      </c>
      <c r="F24" s="154" t="s">
        <v>1076</v>
      </c>
      <c r="G24" s="197">
        <v>2</v>
      </c>
      <c r="H24" s="162">
        <v>150</v>
      </c>
      <c r="I24" s="213">
        <f t="shared" si="1"/>
        <v>300</v>
      </c>
      <c r="J24" s="154" t="s">
        <v>1077</v>
      </c>
      <c r="K24" s="154" t="s">
        <v>1527</v>
      </c>
      <c r="L24" s="154" t="s">
        <v>1078</v>
      </c>
      <c r="M24" s="154" t="s">
        <v>1123</v>
      </c>
      <c r="N24" s="216" t="s">
        <v>1551</v>
      </c>
    </row>
    <row r="25" spans="1:14" ht="15" customHeight="1">
      <c r="B25" s="154" t="s">
        <v>1520</v>
      </c>
      <c r="C25" s="154" t="s">
        <v>1124</v>
      </c>
      <c r="D25" s="154" t="s">
        <v>1071</v>
      </c>
      <c r="E25" s="194" t="s">
        <v>1125</v>
      </c>
      <c r="F25" s="154" t="s">
        <v>1076</v>
      </c>
      <c r="J25" s="154" t="s">
        <v>1077</v>
      </c>
      <c r="K25" s="154" t="s">
        <v>1527</v>
      </c>
      <c r="L25" s="154" t="s">
        <v>1078</v>
      </c>
    </row>
    <row r="26" spans="1:14" ht="15" customHeight="1">
      <c r="B26" s="154" t="s">
        <v>1520</v>
      </c>
      <c r="C26" s="154" t="s">
        <v>1126</v>
      </c>
      <c r="D26" s="154" t="s">
        <v>1071</v>
      </c>
      <c r="E26" s="194" t="s">
        <v>1127</v>
      </c>
      <c r="F26" s="154" t="s">
        <v>1076</v>
      </c>
      <c r="J26" s="154" t="s">
        <v>1077</v>
      </c>
      <c r="K26" s="154" t="s">
        <v>1527</v>
      </c>
      <c r="L26" s="154" t="s">
        <v>1078</v>
      </c>
    </row>
    <row r="27" spans="1:14" ht="15" customHeight="1">
      <c r="B27" s="154" t="s">
        <v>1520</v>
      </c>
      <c r="C27" s="154" t="s">
        <v>1128</v>
      </c>
      <c r="D27" s="154" t="s">
        <v>1071</v>
      </c>
      <c r="E27" s="194" t="s">
        <v>1129</v>
      </c>
      <c r="F27" s="154" t="s">
        <v>1076</v>
      </c>
      <c r="G27" s="197">
        <v>3</v>
      </c>
      <c r="H27" s="162">
        <v>200</v>
      </c>
      <c r="I27" s="213">
        <f t="shared" ref="I27" si="2">H27*G27</f>
        <v>600</v>
      </c>
      <c r="J27" s="154" t="s">
        <v>1077</v>
      </c>
      <c r="K27" s="154" t="s">
        <v>1527</v>
      </c>
      <c r="L27" s="154" t="s">
        <v>1078</v>
      </c>
      <c r="M27" s="154" t="s">
        <v>1130</v>
      </c>
      <c r="N27" s="216" t="s">
        <v>1551</v>
      </c>
    </row>
    <row r="28" spans="1:14" ht="15" customHeight="1">
      <c r="B28" s="154" t="s">
        <v>1520</v>
      </c>
      <c r="C28" s="154" t="s">
        <v>1131</v>
      </c>
      <c r="D28" s="154" t="s">
        <v>1071</v>
      </c>
      <c r="E28" s="194" t="s">
        <v>1132</v>
      </c>
      <c r="F28" s="154" t="s">
        <v>1076</v>
      </c>
      <c r="J28" s="154" t="s">
        <v>1077</v>
      </c>
      <c r="K28" s="154" t="s">
        <v>1527</v>
      </c>
      <c r="L28" s="154" t="s">
        <v>1078</v>
      </c>
    </row>
    <row r="29" spans="1:14" ht="15" customHeight="1">
      <c r="B29" s="154" t="s">
        <v>1520</v>
      </c>
      <c r="C29" s="154" t="s">
        <v>1133</v>
      </c>
      <c r="D29" s="154" t="s">
        <v>1071</v>
      </c>
      <c r="E29" s="194" t="s">
        <v>1134</v>
      </c>
      <c r="F29" s="154" t="s">
        <v>1076</v>
      </c>
      <c r="J29" s="154" t="s">
        <v>1077</v>
      </c>
      <c r="K29" s="154" t="s">
        <v>1527</v>
      </c>
      <c r="L29" s="154" t="s">
        <v>1078</v>
      </c>
    </row>
    <row r="30" spans="1:14" ht="15" customHeight="1">
      <c r="A30" s="159"/>
      <c r="B30" s="159"/>
      <c r="C30" s="159" t="s">
        <v>1135</v>
      </c>
      <c r="D30" s="159" t="s">
        <v>1071</v>
      </c>
      <c r="E30" s="195" t="s">
        <v>1136</v>
      </c>
      <c r="F30" s="159"/>
      <c r="G30" s="159"/>
      <c r="H30" s="163"/>
      <c r="I30" s="212"/>
      <c r="J30" s="161"/>
      <c r="K30" s="161"/>
      <c r="L30" s="161"/>
      <c r="M30" s="161"/>
      <c r="N30" s="215"/>
    </row>
    <row r="31" spans="1:14" ht="15" customHeight="1">
      <c r="B31" s="154" t="s">
        <v>1520</v>
      </c>
      <c r="C31" s="154" t="s">
        <v>1137</v>
      </c>
      <c r="D31" s="154" t="s">
        <v>1071</v>
      </c>
      <c r="E31" s="194" t="s">
        <v>1138</v>
      </c>
      <c r="F31" s="154" t="s">
        <v>1139</v>
      </c>
      <c r="J31" s="154" t="s">
        <v>1087</v>
      </c>
      <c r="K31" s="154" t="s">
        <v>1088</v>
      </c>
      <c r="L31" s="154" t="s">
        <v>1078</v>
      </c>
    </row>
    <row r="32" spans="1:14" ht="15" customHeight="1">
      <c r="B32" s="154" t="s">
        <v>1520</v>
      </c>
      <c r="C32" s="154" t="s">
        <v>1140</v>
      </c>
      <c r="D32" s="154" t="s">
        <v>1071</v>
      </c>
      <c r="E32" s="194" t="s">
        <v>1141</v>
      </c>
      <c r="F32" s="154" t="s">
        <v>1139</v>
      </c>
      <c r="J32" s="154" t="s">
        <v>1087</v>
      </c>
      <c r="K32" s="154" t="s">
        <v>1088</v>
      </c>
      <c r="L32" s="154" t="s">
        <v>1078</v>
      </c>
    </row>
    <row r="33" spans="1:14" ht="15" customHeight="1">
      <c r="B33" s="154" t="s">
        <v>1520</v>
      </c>
      <c r="C33" s="154" t="s">
        <v>1142</v>
      </c>
      <c r="D33" s="154" t="s">
        <v>1071</v>
      </c>
      <c r="E33" s="194" t="s">
        <v>1143</v>
      </c>
      <c r="F33" s="154" t="s">
        <v>1139</v>
      </c>
      <c r="J33" s="154" t="s">
        <v>1087</v>
      </c>
      <c r="K33" s="154" t="s">
        <v>1088</v>
      </c>
      <c r="L33" s="154" t="s">
        <v>1078</v>
      </c>
    </row>
    <row r="34" spans="1:14" ht="15" customHeight="1">
      <c r="B34" s="154" t="s">
        <v>1520</v>
      </c>
      <c r="C34" s="154" t="s">
        <v>1144</v>
      </c>
      <c r="D34" s="154" t="s">
        <v>1071</v>
      </c>
      <c r="E34" s="194" t="s">
        <v>1145</v>
      </c>
      <c r="F34" s="154" t="s">
        <v>1139</v>
      </c>
      <c r="J34" s="154" t="s">
        <v>1087</v>
      </c>
      <c r="K34" s="154" t="s">
        <v>1088</v>
      </c>
      <c r="L34" s="154" t="s">
        <v>1078</v>
      </c>
    </row>
    <row r="35" spans="1:14" ht="15" customHeight="1">
      <c r="B35" s="154" t="s">
        <v>1520</v>
      </c>
      <c r="C35" s="154" t="s">
        <v>1146</v>
      </c>
      <c r="D35" s="154" t="s">
        <v>1071</v>
      </c>
      <c r="E35" s="194" t="s">
        <v>1147</v>
      </c>
      <c r="F35" s="154" t="s">
        <v>1139</v>
      </c>
      <c r="J35" s="154" t="s">
        <v>1087</v>
      </c>
      <c r="K35" s="154" t="s">
        <v>1088</v>
      </c>
      <c r="L35" s="154" t="s">
        <v>1078</v>
      </c>
    </row>
    <row r="36" spans="1:14" ht="15" customHeight="1">
      <c r="A36" s="159"/>
      <c r="B36" s="159"/>
      <c r="C36" s="159" t="s">
        <v>1148</v>
      </c>
      <c r="D36" s="159" t="s">
        <v>1071</v>
      </c>
      <c r="E36" s="195" t="s">
        <v>1149</v>
      </c>
      <c r="F36" s="159"/>
      <c r="G36" s="159"/>
      <c r="H36" s="163"/>
      <c r="I36" s="212"/>
      <c r="J36" s="161"/>
      <c r="K36" s="161"/>
      <c r="L36" s="161"/>
      <c r="M36" s="161"/>
      <c r="N36" s="215"/>
    </row>
    <row r="37" spans="1:14" ht="15" customHeight="1">
      <c r="B37" s="154" t="s">
        <v>1520</v>
      </c>
      <c r="C37" s="154" t="s">
        <v>1150</v>
      </c>
      <c r="D37" s="154" t="s">
        <v>1071</v>
      </c>
      <c r="E37" s="194" t="s">
        <v>1151</v>
      </c>
      <c r="F37" s="154" t="s">
        <v>1139</v>
      </c>
      <c r="J37" s="154" t="s">
        <v>1087</v>
      </c>
      <c r="K37" s="154" t="s">
        <v>1088</v>
      </c>
      <c r="L37" s="154" t="s">
        <v>1078</v>
      </c>
    </row>
    <row r="38" spans="1:14" ht="15" customHeight="1">
      <c r="B38" s="154" t="s">
        <v>1520</v>
      </c>
      <c r="C38" s="154" t="s">
        <v>1152</v>
      </c>
      <c r="D38" s="154" t="s">
        <v>1071</v>
      </c>
      <c r="E38" s="194" t="s">
        <v>1153</v>
      </c>
      <c r="F38" s="154" t="s">
        <v>1139</v>
      </c>
      <c r="J38" s="154" t="s">
        <v>1087</v>
      </c>
      <c r="K38" s="154" t="s">
        <v>1088</v>
      </c>
      <c r="L38" s="154" t="s">
        <v>1078</v>
      </c>
    </row>
    <row r="39" spans="1:14" ht="15" customHeight="1">
      <c r="A39" s="159" t="s">
        <v>1518</v>
      </c>
      <c r="B39" s="159" t="s">
        <v>1520</v>
      </c>
      <c r="C39" s="159">
        <v>3</v>
      </c>
      <c r="D39" s="159" t="s">
        <v>1154</v>
      </c>
      <c r="E39" s="195" t="s">
        <v>1154</v>
      </c>
      <c r="F39" s="159"/>
      <c r="G39" s="161"/>
      <c r="H39" s="163"/>
      <c r="I39" s="212">
        <f>I40+I54+I57+I67+I70+I75+I79</f>
        <v>70520</v>
      </c>
      <c r="J39" s="161"/>
      <c r="K39" s="161"/>
      <c r="L39" s="161"/>
      <c r="M39" s="161"/>
      <c r="N39" s="215"/>
    </row>
    <row r="40" spans="1:14" ht="15" customHeight="1">
      <c r="A40" s="159"/>
      <c r="B40" s="159"/>
      <c r="C40" s="159" t="s">
        <v>1155</v>
      </c>
      <c r="D40" s="159" t="s">
        <v>1154</v>
      </c>
      <c r="E40" s="195" t="s">
        <v>1156</v>
      </c>
      <c r="F40" s="159"/>
      <c r="G40" s="161"/>
      <c r="H40" s="163"/>
      <c r="I40" s="212">
        <f>SUM(I41:I53)</f>
        <v>18500</v>
      </c>
      <c r="J40" s="161"/>
      <c r="K40" s="161"/>
      <c r="L40" s="161"/>
      <c r="M40" s="161"/>
      <c r="N40" s="215"/>
    </row>
    <row r="41" spans="1:14" ht="15" customHeight="1">
      <c r="B41" s="154" t="s">
        <v>1520</v>
      </c>
      <c r="C41" s="154" t="s">
        <v>1157</v>
      </c>
      <c r="D41" s="154" t="s">
        <v>1154</v>
      </c>
      <c r="E41" s="194" t="s">
        <v>1158</v>
      </c>
      <c r="F41" s="154" t="s">
        <v>1159</v>
      </c>
      <c r="G41" s="164">
        <v>1</v>
      </c>
      <c r="H41" s="162">
        <v>500</v>
      </c>
      <c r="I41" s="213">
        <f>H41*G41</f>
        <v>500</v>
      </c>
      <c r="J41" s="154" t="s">
        <v>1087</v>
      </c>
      <c r="K41" s="154" t="s">
        <v>1088</v>
      </c>
      <c r="L41" s="154" t="s">
        <v>1160</v>
      </c>
      <c r="M41" s="154" t="s">
        <v>1060</v>
      </c>
      <c r="N41" s="216">
        <f>VLOOKUP(M41,'FC - outros'!$B$2:$C$21,2,0)</f>
        <v>44409</v>
      </c>
    </row>
    <row r="42" spans="1:14" ht="15" customHeight="1">
      <c r="B42" s="154" t="s">
        <v>1520</v>
      </c>
      <c r="C42" s="154" t="s">
        <v>1161</v>
      </c>
      <c r="D42" s="154" t="s">
        <v>1154</v>
      </c>
      <c r="E42" s="194" t="s">
        <v>1162</v>
      </c>
      <c r="F42" s="154" t="s">
        <v>1159</v>
      </c>
      <c r="G42" s="164">
        <v>1</v>
      </c>
      <c r="H42" s="162">
        <v>1000</v>
      </c>
      <c r="I42" s="213">
        <f t="shared" ref="I42:I69" si="3">H42*G42</f>
        <v>1000</v>
      </c>
      <c r="J42" s="154" t="s">
        <v>1087</v>
      </c>
      <c r="K42" s="154" t="s">
        <v>1088</v>
      </c>
      <c r="L42" s="154" t="s">
        <v>1160</v>
      </c>
      <c r="M42" s="154" t="s">
        <v>1060</v>
      </c>
      <c r="N42" s="216">
        <f>VLOOKUP(M42,'FC - outros'!$B$2:$C$21,2,0)</f>
        <v>44409</v>
      </c>
    </row>
    <row r="43" spans="1:14" ht="15" customHeight="1">
      <c r="B43" s="154" t="s">
        <v>1520</v>
      </c>
      <c r="C43" s="154" t="s">
        <v>1163</v>
      </c>
      <c r="D43" s="154" t="s">
        <v>1154</v>
      </c>
      <c r="E43" s="194" t="s">
        <v>1164</v>
      </c>
      <c r="F43" s="154" t="s">
        <v>1159</v>
      </c>
      <c r="G43" s="164">
        <v>1</v>
      </c>
      <c r="H43" s="162">
        <v>5000</v>
      </c>
      <c r="I43" s="213">
        <f t="shared" si="3"/>
        <v>5000</v>
      </c>
      <c r="J43" s="154" t="s">
        <v>1087</v>
      </c>
      <c r="K43" s="154" t="s">
        <v>1088</v>
      </c>
      <c r="L43" s="154" t="s">
        <v>1160</v>
      </c>
      <c r="M43" s="154" t="s">
        <v>1060</v>
      </c>
      <c r="N43" s="216">
        <f>VLOOKUP(M43,'FC - outros'!$B$2:$C$21,2,0)</f>
        <v>44409</v>
      </c>
    </row>
    <row r="44" spans="1:14" ht="15" customHeight="1">
      <c r="B44" s="154" t="s">
        <v>1520</v>
      </c>
      <c r="C44" s="154" t="s">
        <v>1165</v>
      </c>
      <c r="D44" s="154" t="s">
        <v>1154</v>
      </c>
      <c r="E44" s="194" t="s">
        <v>1166</v>
      </c>
      <c r="F44" s="154" t="s">
        <v>1159</v>
      </c>
      <c r="G44" s="164">
        <v>1</v>
      </c>
      <c r="H44" s="162">
        <v>1000</v>
      </c>
      <c r="I44" s="213">
        <f t="shared" si="3"/>
        <v>1000</v>
      </c>
      <c r="J44" s="154" t="s">
        <v>1087</v>
      </c>
      <c r="K44" s="154" t="s">
        <v>1088</v>
      </c>
      <c r="L44" s="154" t="s">
        <v>1160</v>
      </c>
      <c r="M44" s="154" t="s">
        <v>1060</v>
      </c>
      <c r="N44" s="216">
        <f>VLOOKUP(M44,'FC - outros'!$B$2:$C$21,2,0)</f>
        <v>44409</v>
      </c>
    </row>
    <row r="45" spans="1:14" ht="15" customHeight="1">
      <c r="B45" s="154" t="s">
        <v>1520</v>
      </c>
      <c r="C45" s="154" t="s">
        <v>1167</v>
      </c>
      <c r="D45" s="154" t="s">
        <v>1154</v>
      </c>
      <c r="E45" s="194" t="s">
        <v>1168</v>
      </c>
      <c r="F45" s="154" t="s">
        <v>1159</v>
      </c>
      <c r="G45" s="164">
        <v>1</v>
      </c>
      <c r="H45" s="162">
        <v>500</v>
      </c>
      <c r="I45" s="213">
        <f t="shared" si="3"/>
        <v>500</v>
      </c>
      <c r="J45" s="154" t="s">
        <v>1087</v>
      </c>
      <c r="K45" s="154" t="s">
        <v>1088</v>
      </c>
      <c r="L45" s="154" t="s">
        <v>1160</v>
      </c>
      <c r="M45" s="154" t="s">
        <v>1060</v>
      </c>
      <c r="N45" s="216">
        <f>VLOOKUP(M45,'FC - outros'!$B$2:$C$21,2,0)</f>
        <v>44409</v>
      </c>
    </row>
    <row r="46" spans="1:14" ht="15" customHeight="1">
      <c r="B46" s="154" t="s">
        <v>1520</v>
      </c>
      <c r="C46" s="154" t="s">
        <v>1169</v>
      </c>
      <c r="D46" s="154" t="s">
        <v>1154</v>
      </c>
      <c r="E46" s="194" t="s">
        <v>1170</v>
      </c>
      <c r="F46" s="154" t="s">
        <v>1159</v>
      </c>
      <c r="G46" s="164">
        <v>1</v>
      </c>
      <c r="H46" s="162">
        <v>500</v>
      </c>
      <c r="I46" s="213">
        <f t="shared" si="3"/>
        <v>500</v>
      </c>
      <c r="J46" s="154" t="s">
        <v>1087</v>
      </c>
      <c r="K46" s="154" t="s">
        <v>1088</v>
      </c>
      <c r="L46" s="154" t="s">
        <v>1160</v>
      </c>
      <c r="M46" s="154" t="s">
        <v>1060</v>
      </c>
      <c r="N46" s="216">
        <f>VLOOKUP(M46,'FC - outros'!$B$2:$C$21,2,0)</f>
        <v>44409</v>
      </c>
    </row>
    <row r="47" spans="1:14" ht="15" customHeight="1">
      <c r="B47" s="154" t="s">
        <v>1520</v>
      </c>
      <c r="C47" s="154" t="s">
        <v>1171</v>
      </c>
      <c r="D47" s="154" t="s">
        <v>1154</v>
      </c>
      <c r="E47" s="194" t="s">
        <v>1172</v>
      </c>
      <c r="F47" s="154" t="s">
        <v>1159</v>
      </c>
      <c r="G47" s="164">
        <v>1</v>
      </c>
      <c r="H47" s="162">
        <v>2500</v>
      </c>
      <c r="I47" s="213">
        <f t="shared" si="3"/>
        <v>2500</v>
      </c>
      <c r="J47" s="154" t="s">
        <v>1087</v>
      </c>
      <c r="K47" s="154" t="s">
        <v>1088</v>
      </c>
      <c r="L47" s="154" t="s">
        <v>1160</v>
      </c>
      <c r="M47" s="154" t="s">
        <v>1060</v>
      </c>
      <c r="N47" s="216">
        <f>VLOOKUP(M47,'FC - outros'!$B$2:$C$21,2,0)</f>
        <v>44409</v>
      </c>
    </row>
    <row r="48" spans="1:14" ht="15" customHeight="1">
      <c r="B48" s="154" t="s">
        <v>1520</v>
      </c>
      <c r="C48" s="154" t="s">
        <v>1173</v>
      </c>
      <c r="D48" s="154" t="s">
        <v>1154</v>
      </c>
      <c r="E48" s="194" t="s">
        <v>1174</v>
      </c>
      <c r="F48" s="154" t="s">
        <v>1159</v>
      </c>
      <c r="G48" s="164">
        <v>1</v>
      </c>
      <c r="H48" s="162">
        <v>5000</v>
      </c>
      <c r="I48" s="213">
        <f t="shared" si="3"/>
        <v>5000</v>
      </c>
      <c r="J48" s="154" t="s">
        <v>1087</v>
      </c>
      <c r="K48" s="154" t="s">
        <v>1088</v>
      </c>
      <c r="L48" s="154" t="s">
        <v>1160</v>
      </c>
      <c r="M48" s="154" t="s">
        <v>1060</v>
      </c>
      <c r="N48" s="216">
        <f>VLOOKUP(M48,'FC - outros'!$B$2:$C$21,2,0)</f>
        <v>44409</v>
      </c>
    </row>
    <row r="49" spans="1:14" ht="15" customHeight="1">
      <c r="B49" s="154" t="s">
        <v>1520</v>
      </c>
      <c r="C49" s="154" t="s">
        <v>1175</v>
      </c>
      <c r="D49" s="154" t="s">
        <v>1154</v>
      </c>
      <c r="E49" s="194" t="s">
        <v>1176</v>
      </c>
      <c r="F49" s="154" t="s">
        <v>1159</v>
      </c>
      <c r="G49" s="164">
        <v>1</v>
      </c>
      <c r="H49" s="162">
        <v>500</v>
      </c>
      <c r="I49" s="213">
        <f t="shared" si="3"/>
        <v>500</v>
      </c>
      <c r="J49" s="154" t="s">
        <v>1087</v>
      </c>
      <c r="K49" s="154" t="s">
        <v>1088</v>
      </c>
      <c r="L49" s="154" t="s">
        <v>1160</v>
      </c>
      <c r="M49" s="154" t="s">
        <v>1060</v>
      </c>
      <c r="N49" s="216">
        <f>VLOOKUP(M49,'FC - outros'!$B$2:$C$21,2,0)</f>
        <v>44409</v>
      </c>
    </row>
    <row r="50" spans="1:14" ht="15" customHeight="1">
      <c r="B50" s="154" t="s">
        <v>1520</v>
      </c>
      <c r="C50" s="154" t="s">
        <v>1177</v>
      </c>
      <c r="D50" s="154" t="s">
        <v>1154</v>
      </c>
      <c r="E50" s="194" t="s">
        <v>1178</v>
      </c>
      <c r="F50" s="154" t="s">
        <v>1159</v>
      </c>
      <c r="G50" s="164">
        <v>1</v>
      </c>
      <c r="H50" s="162">
        <v>500</v>
      </c>
      <c r="I50" s="213">
        <f t="shared" si="3"/>
        <v>500</v>
      </c>
      <c r="J50" s="154" t="s">
        <v>1087</v>
      </c>
      <c r="K50" s="154" t="s">
        <v>1088</v>
      </c>
      <c r="L50" s="154" t="s">
        <v>1160</v>
      </c>
      <c r="M50" s="154" t="s">
        <v>1060</v>
      </c>
      <c r="N50" s="216">
        <f>VLOOKUP(M50,'FC - outros'!$B$2:$C$21,2,0)</f>
        <v>44409</v>
      </c>
    </row>
    <row r="51" spans="1:14" ht="15" customHeight="1">
      <c r="B51" s="154" t="s">
        <v>1520</v>
      </c>
      <c r="C51" s="154" t="s">
        <v>1179</v>
      </c>
      <c r="D51" s="154" t="s">
        <v>1154</v>
      </c>
      <c r="E51" s="194" t="s">
        <v>1180</v>
      </c>
      <c r="F51" s="154" t="s">
        <v>1159</v>
      </c>
      <c r="G51" s="164">
        <v>1</v>
      </c>
      <c r="H51" s="162">
        <v>1000</v>
      </c>
      <c r="I51" s="213">
        <f t="shared" si="3"/>
        <v>1000</v>
      </c>
      <c r="J51" s="154" t="s">
        <v>1087</v>
      </c>
      <c r="K51" s="154" t="s">
        <v>1517</v>
      </c>
      <c r="L51" s="154" t="s">
        <v>1160</v>
      </c>
      <c r="M51" s="154" t="s">
        <v>1061</v>
      </c>
      <c r="N51" s="216">
        <f>VLOOKUP(M51,'FC - outros'!$B$2:$C$21,2,0)</f>
        <v>44743</v>
      </c>
    </row>
    <row r="52" spans="1:14" ht="15" customHeight="1">
      <c r="B52" s="154" t="s">
        <v>1520</v>
      </c>
      <c r="C52" s="154" t="s">
        <v>1181</v>
      </c>
      <c r="D52" s="154" t="s">
        <v>1154</v>
      </c>
      <c r="E52" s="194" t="s">
        <v>1182</v>
      </c>
      <c r="F52" s="154" t="s">
        <v>1159</v>
      </c>
      <c r="G52" s="164">
        <v>1</v>
      </c>
      <c r="H52" s="162">
        <v>250</v>
      </c>
      <c r="I52" s="213">
        <f t="shared" si="3"/>
        <v>250</v>
      </c>
      <c r="J52" s="154" t="s">
        <v>1087</v>
      </c>
      <c r="K52" s="154" t="s">
        <v>1088</v>
      </c>
      <c r="L52" s="154" t="s">
        <v>1160</v>
      </c>
      <c r="M52" s="154" t="s">
        <v>1060</v>
      </c>
      <c r="N52" s="216">
        <f>VLOOKUP(M52,'FC - outros'!$B$2:$C$21,2,0)</f>
        <v>44409</v>
      </c>
    </row>
    <row r="53" spans="1:14" ht="15" customHeight="1">
      <c r="B53" s="154" t="s">
        <v>1520</v>
      </c>
      <c r="C53" s="154" t="s">
        <v>1183</v>
      </c>
      <c r="D53" s="154" t="s">
        <v>1154</v>
      </c>
      <c r="E53" s="194" t="s">
        <v>1184</v>
      </c>
      <c r="F53" s="154" t="s">
        <v>1159</v>
      </c>
      <c r="G53" s="164">
        <v>1</v>
      </c>
      <c r="H53" s="162">
        <v>250</v>
      </c>
      <c r="I53" s="213">
        <f t="shared" si="3"/>
        <v>250</v>
      </c>
      <c r="J53" s="154" t="s">
        <v>1087</v>
      </c>
      <c r="K53" s="154" t="s">
        <v>1088</v>
      </c>
      <c r="L53" s="154" t="s">
        <v>1160</v>
      </c>
      <c r="M53" s="154" t="s">
        <v>1060</v>
      </c>
      <c r="N53" s="216">
        <f>VLOOKUP(M53,'FC - outros'!$B$2:$C$21,2,0)</f>
        <v>44409</v>
      </c>
    </row>
    <row r="54" spans="1:14" ht="15" customHeight="1">
      <c r="A54" s="159"/>
      <c r="B54" s="159"/>
      <c r="C54" s="159" t="s">
        <v>1185</v>
      </c>
      <c r="D54" s="159" t="s">
        <v>1154</v>
      </c>
      <c r="E54" s="195" t="s">
        <v>1186</v>
      </c>
      <c r="F54" s="159"/>
      <c r="G54" s="161"/>
      <c r="H54" s="163"/>
      <c r="I54" s="212">
        <f>I55+I56</f>
        <v>3550</v>
      </c>
      <c r="J54" s="161"/>
      <c r="K54" s="161"/>
      <c r="L54" s="161"/>
      <c r="M54" s="161"/>
      <c r="N54" s="215"/>
    </row>
    <row r="55" spans="1:14" ht="15" customHeight="1">
      <c r="B55" s="154" t="s">
        <v>1520</v>
      </c>
      <c r="C55" s="154" t="s">
        <v>1187</v>
      </c>
      <c r="D55" s="154" t="s">
        <v>1154</v>
      </c>
      <c r="E55" s="194" t="s">
        <v>1188</v>
      </c>
      <c r="F55" s="154" t="s">
        <v>1076</v>
      </c>
      <c r="G55" s="164">
        <v>11</v>
      </c>
      <c r="H55" s="162">
        <v>300</v>
      </c>
      <c r="I55" s="213">
        <f t="shared" si="3"/>
        <v>3300</v>
      </c>
      <c r="J55" s="154" t="s">
        <v>1077</v>
      </c>
      <c r="K55" s="154" t="s">
        <v>1526</v>
      </c>
      <c r="L55" s="154" t="s">
        <v>1067</v>
      </c>
      <c r="M55" s="154" t="s">
        <v>1189</v>
      </c>
      <c r="N55" s="216" t="s">
        <v>1189</v>
      </c>
    </row>
    <row r="56" spans="1:14" ht="15" customHeight="1">
      <c r="B56" s="154" t="s">
        <v>1520</v>
      </c>
      <c r="C56" s="154" t="s">
        <v>1190</v>
      </c>
      <c r="D56" s="154" t="s">
        <v>1154</v>
      </c>
      <c r="E56" s="194" t="s">
        <v>1191</v>
      </c>
      <c r="F56" s="154" t="s">
        <v>1159</v>
      </c>
      <c r="G56" s="164">
        <v>1</v>
      </c>
      <c r="H56" s="162">
        <v>250</v>
      </c>
      <c r="I56" s="213">
        <f t="shared" si="3"/>
        <v>250</v>
      </c>
      <c r="J56" s="154" t="s">
        <v>1087</v>
      </c>
      <c r="K56" s="154" t="s">
        <v>1088</v>
      </c>
      <c r="L56" s="154" t="s">
        <v>1078</v>
      </c>
      <c r="M56" s="154" t="s">
        <v>1531</v>
      </c>
      <c r="N56" s="216">
        <f>VLOOKUP(M56,'FC - outros'!$B$2:$C$21,2,0)</f>
        <v>44580</v>
      </c>
    </row>
    <row r="57" spans="1:14" ht="15" customHeight="1">
      <c r="A57" s="159"/>
      <c r="B57" s="159"/>
      <c r="C57" s="159" t="s">
        <v>1192</v>
      </c>
      <c r="D57" s="159" t="s">
        <v>1154</v>
      </c>
      <c r="E57" s="195" t="s">
        <v>1193</v>
      </c>
      <c r="F57" s="159"/>
      <c r="G57" s="161"/>
      <c r="H57" s="163"/>
      <c r="I57" s="212">
        <f>SUM(I58:I66)</f>
        <v>7370</v>
      </c>
      <c r="J57" s="161"/>
      <c r="K57" s="161"/>
      <c r="L57" s="161"/>
      <c r="M57" s="161"/>
      <c r="N57" s="215"/>
    </row>
    <row r="58" spans="1:14" ht="15" customHeight="1">
      <c r="B58" s="154" t="s">
        <v>1520</v>
      </c>
      <c r="C58" s="154" t="s">
        <v>1194</v>
      </c>
      <c r="D58" s="154" t="s">
        <v>1154</v>
      </c>
      <c r="E58" s="194" t="s">
        <v>1195</v>
      </c>
      <c r="F58" s="154" t="s">
        <v>1076</v>
      </c>
      <c r="G58" s="164">
        <v>11</v>
      </c>
      <c r="H58" s="162">
        <v>150</v>
      </c>
      <c r="I58" s="213">
        <f t="shared" si="3"/>
        <v>1650</v>
      </c>
      <c r="J58" s="154" t="s">
        <v>1077</v>
      </c>
      <c r="K58" s="154" t="s">
        <v>1526</v>
      </c>
      <c r="L58" s="154" t="s">
        <v>1067</v>
      </c>
      <c r="M58" s="154" t="s">
        <v>1189</v>
      </c>
      <c r="N58" s="216" t="s">
        <v>1189</v>
      </c>
    </row>
    <row r="59" spans="1:14" ht="15" customHeight="1">
      <c r="B59" s="154" t="s">
        <v>1520</v>
      </c>
      <c r="C59" s="154" t="s">
        <v>1196</v>
      </c>
      <c r="D59" s="154" t="s">
        <v>1154</v>
      </c>
      <c r="E59" s="194" t="s">
        <v>1197</v>
      </c>
      <c r="F59" s="154" t="s">
        <v>1076</v>
      </c>
      <c r="G59" s="164">
        <v>11</v>
      </c>
      <c r="H59" s="162">
        <v>50</v>
      </c>
      <c r="I59" s="213">
        <f t="shared" si="3"/>
        <v>550</v>
      </c>
      <c r="J59" s="154" t="s">
        <v>1077</v>
      </c>
      <c r="K59" s="154" t="s">
        <v>1526</v>
      </c>
      <c r="L59" s="154" t="s">
        <v>1067</v>
      </c>
      <c r="M59" s="154" t="s">
        <v>1189</v>
      </c>
      <c r="N59" s="216" t="s">
        <v>1189</v>
      </c>
    </row>
    <row r="60" spans="1:14" ht="15" customHeight="1">
      <c r="B60" s="154" t="s">
        <v>1520</v>
      </c>
      <c r="C60" s="154" t="s">
        <v>1198</v>
      </c>
      <c r="D60" s="154" t="s">
        <v>1154</v>
      </c>
      <c r="E60" s="194" t="s">
        <v>1199</v>
      </c>
      <c r="F60" s="154" t="s">
        <v>1076</v>
      </c>
      <c r="G60" s="164">
        <v>11</v>
      </c>
      <c r="H60" s="162">
        <v>50</v>
      </c>
      <c r="I60" s="213">
        <f t="shared" si="3"/>
        <v>550</v>
      </c>
      <c r="J60" s="154" t="s">
        <v>1077</v>
      </c>
      <c r="K60" s="154" t="s">
        <v>1526</v>
      </c>
      <c r="L60" s="154" t="s">
        <v>1067</v>
      </c>
      <c r="M60" s="154" t="s">
        <v>1189</v>
      </c>
      <c r="N60" s="216" t="s">
        <v>1189</v>
      </c>
    </row>
    <row r="61" spans="1:14" ht="15" customHeight="1">
      <c r="B61" s="154" t="s">
        <v>1520</v>
      </c>
      <c r="C61" s="154" t="s">
        <v>1200</v>
      </c>
      <c r="D61" s="154" t="s">
        <v>1154</v>
      </c>
      <c r="E61" s="194" t="s">
        <v>1201</v>
      </c>
      <c r="F61" s="154" t="s">
        <v>1076</v>
      </c>
      <c r="G61" s="164">
        <v>11</v>
      </c>
      <c r="H61" s="162">
        <v>80</v>
      </c>
      <c r="I61" s="213">
        <f t="shared" si="3"/>
        <v>880</v>
      </c>
      <c r="J61" s="154" t="s">
        <v>1077</v>
      </c>
      <c r="K61" s="154" t="s">
        <v>1526</v>
      </c>
      <c r="L61" s="154" t="s">
        <v>1067</v>
      </c>
      <c r="M61" s="154" t="s">
        <v>1189</v>
      </c>
      <c r="N61" s="216" t="s">
        <v>1189</v>
      </c>
    </row>
    <row r="62" spans="1:14" ht="15" customHeight="1">
      <c r="B62" s="154" t="s">
        <v>1520</v>
      </c>
      <c r="C62" s="154" t="s">
        <v>1202</v>
      </c>
      <c r="D62" s="154" t="s">
        <v>1154</v>
      </c>
      <c r="E62" s="194" t="s">
        <v>1203</v>
      </c>
      <c r="F62" s="154" t="s">
        <v>1076</v>
      </c>
      <c r="G62" s="164">
        <v>11</v>
      </c>
      <c r="H62" s="162">
        <v>80</v>
      </c>
      <c r="I62" s="213">
        <f t="shared" si="3"/>
        <v>880</v>
      </c>
      <c r="J62" s="154" t="s">
        <v>1077</v>
      </c>
      <c r="K62" s="154" t="s">
        <v>1526</v>
      </c>
      <c r="L62" s="154" t="s">
        <v>1067</v>
      </c>
      <c r="M62" s="154" t="s">
        <v>1189</v>
      </c>
      <c r="N62" s="216" t="s">
        <v>1189</v>
      </c>
    </row>
    <row r="63" spans="1:14" ht="15" customHeight="1">
      <c r="B63" s="154" t="s">
        <v>1520</v>
      </c>
      <c r="C63" s="154" t="s">
        <v>1204</v>
      </c>
      <c r="D63" s="154" t="s">
        <v>1154</v>
      </c>
      <c r="E63" s="194" t="s">
        <v>1205</v>
      </c>
      <c r="F63" s="154" t="s">
        <v>1076</v>
      </c>
      <c r="G63" s="164">
        <v>11</v>
      </c>
      <c r="H63" s="162">
        <v>80</v>
      </c>
      <c r="I63" s="213">
        <f t="shared" si="3"/>
        <v>880</v>
      </c>
      <c r="J63" s="154" t="s">
        <v>1077</v>
      </c>
      <c r="K63" s="154" t="s">
        <v>1526</v>
      </c>
      <c r="L63" s="154" t="s">
        <v>1067</v>
      </c>
      <c r="M63" s="154" t="s">
        <v>1189</v>
      </c>
      <c r="N63" s="216" t="s">
        <v>1189</v>
      </c>
    </row>
    <row r="64" spans="1:14" ht="15" customHeight="1">
      <c r="B64" s="154" t="s">
        <v>1520</v>
      </c>
      <c r="C64" s="154" t="s">
        <v>1206</v>
      </c>
      <c r="D64" s="154" t="s">
        <v>1154</v>
      </c>
      <c r="E64" s="194" t="s">
        <v>1207</v>
      </c>
      <c r="F64" s="154" t="s">
        <v>1076</v>
      </c>
      <c r="G64" s="164"/>
      <c r="J64" s="154" t="s">
        <v>1077</v>
      </c>
      <c r="K64" s="154" t="s">
        <v>1526</v>
      </c>
      <c r="L64" s="154" t="s">
        <v>1067</v>
      </c>
    </row>
    <row r="65" spans="1:14" ht="15" customHeight="1">
      <c r="B65" s="154" t="s">
        <v>1520</v>
      </c>
      <c r="C65" s="154" t="s">
        <v>1208</v>
      </c>
      <c r="D65" s="154" t="s">
        <v>1154</v>
      </c>
      <c r="E65" s="194" t="s">
        <v>1209</v>
      </c>
      <c r="F65" s="154" t="s">
        <v>1076</v>
      </c>
      <c r="G65" s="164">
        <v>11</v>
      </c>
      <c r="H65" s="162">
        <v>100</v>
      </c>
      <c r="I65" s="213">
        <f t="shared" si="3"/>
        <v>1100</v>
      </c>
      <c r="J65" s="154" t="s">
        <v>1077</v>
      </c>
      <c r="K65" s="154" t="s">
        <v>1526</v>
      </c>
      <c r="L65" s="154" t="s">
        <v>1067</v>
      </c>
      <c r="M65" s="154" t="s">
        <v>1189</v>
      </c>
      <c r="N65" s="216" t="s">
        <v>1189</v>
      </c>
    </row>
    <row r="66" spans="1:14" ht="15" customHeight="1">
      <c r="B66" s="154" t="s">
        <v>1520</v>
      </c>
      <c r="C66" s="154" t="s">
        <v>1210</v>
      </c>
      <c r="D66" s="154" t="s">
        <v>1154</v>
      </c>
      <c r="E66" s="194" t="s">
        <v>1211</v>
      </c>
      <c r="F66" s="154" t="s">
        <v>1076</v>
      </c>
      <c r="G66" s="164">
        <v>11</v>
      </c>
      <c r="H66" s="162">
        <v>80</v>
      </c>
      <c r="I66" s="213">
        <f t="shared" si="3"/>
        <v>880</v>
      </c>
      <c r="J66" s="154" t="s">
        <v>1077</v>
      </c>
      <c r="K66" s="154" t="s">
        <v>1526</v>
      </c>
      <c r="L66" s="154" t="s">
        <v>1067</v>
      </c>
      <c r="M66" s="154" t="s">
        <v>1189</v>
      </c>
      <c r="N66" s="216" t="s">
        <v>1189</v>
      </c>
    </row>
    <row r="67" spans="1:14" ht="15" customHeight="1">
      <c r="A67" s="159"/>
      <c r="B67" s="159"/>
      <c r="C67" s="159" t="s">
        <v>1212</v>
      </c>
      <c r="D67" s="159" t="s">
        <v>1154</v>
      </c>
      <c r="E67" s="195" t="s">
        <v>1213</v>
      </c>
      <c r="F67" s="159"/>
      <c r="G67" s="161"/>
      <c r="H67" s="163"/>
      <c r="I67" s="212">
        <f>I68+I69</f>
        <v>12000</v>
      </c>
      <c r="J67" s="161"/>
      <c r="K67" s="161"/>
      <c r="L67" s="161"/>
      <c r="M67" s="161"/>
      <c r="N67" s="215"/>
    </row>
    <row r="68" spans="1:14" ht="15" customHeight="1">
      <c r="B68" s="154" t="s">
        <v>1520</v>
      </c>
      <c r="C68" s="154" t="s">
        <v>1214</v>
      </c>
      <c r="D68" s="154" t="s">
        <v>1154</v>
      </c>
      <c r="E68" s="194" t="s">
        <v>1215</v>
      </c>
      <c r="F68" s="154" t="s">
        <v>1076</v>
      </c>
      <c r="G68" s="164">
        <v>11</v>
      </c>
      <c r="H68" s="162">
        <v>1000</v>
      </c>
      <c r="I68" s="213">
        <f t="shared" si="3"/>
        <v>11000</v>
      </c>
      <c r="J68" s="154" t="s">
        <v>1077</v>
      </c>
      <c r="K68" s="154" t="s">
        <v>1526</v>
      </c>
      <c r="L68" s="154" t="s">
        <v>1067</v>
      </c>
      <c r="M68" s="154" t="s">
        <v>1189</v>
      </c>
      <c r="N68" s="216" t="s">
        <v>1189</v>
      </c>
    </row>
    <row r="69" spans="1:14" ht="15" customHeight="1">
      <c r="B69" s="154" t="s">
        <v>1520</v>
      </c>
      <c r="C69" s="154" t="s">
        <v>1216</v>
      </c>
      <c r="D69" s="154" t="s">
        <v>1154</v>
      </c>
      <c r="E69" s="194" t="s">
        <v>1217</v>
      </c>
      <c r="F69" s="154" t="s">
        <v>1159</v>
      </c>
      <c r="G69" s="164">
        <v>1</v>
      </c>
      <c r="H69" s="162">
        <v>1000</v>
      </c>
      <c r="I69" s="213">
        <f t="shared" si="3"/>
        <v>1000</v>
      </c>
      <c r="J69" s="154" t="s">
        <v>1087</v>
      </c>
      <c r="K69" s="154" t="s">
        <v>1088</v>
      </c>
      <c r="L69" s="154" t="s">
        <v>1160</v>
      </c>
      <c r="M69" s="154" t="s">
        <v>1060</v>
      </c>
      <c r="N69" s="216">
        <f>VLOOKUP(M69,'FC - outros'!$B$2:$C$21,2,0)</f>
        <v>44409</v>
      </c>
    </row>
    <row r="70" spans="1:14" ht="15" customHeight="1">
      <c r="A70" s="159"/>
      <c r="B70" s="159"/>
      <c r="C70" s="159" t="s">
        <v>1218</v>
      </c>
      <c r="D70" s="159" t="s">
        <v>1154</v>
      </c>
      <c r="E70" s="195" t="s">
        <v>1219</v>
      </c>
      <c r="F70" s="159"/>
      <c r="G70" s="161"/>
      <c r="H70" s="163"/>
      <c r="I70" s="212">
        <f>SUM(I71:I74)</f>
        <v>11000</v>
      </c>
      <c r="J70" s="161"/>
      <c r="K70" s="161"/>
      <c r="L70" s="161"/>
      <c r="M70" s="161"/>
      <c r="N70" s="215"/>
    </row>
    <row r="71" spans="1:14" ht="15" customHeight="1">
      <c r="B71" s="154" t="s">
        <v>1520</v>
      </c>
      <c r="C71" s="154" t="s">
        <v>1220</v>
      </c>
      <c r="D71" s="154" t="s">
        <v>1154</v>
      </c>
      <c r="E71" s="194" t="s">
        <v>1221</v>
      </c>
      <c r="F71" s="154" t="s">
        <v>1076</v>
      </c>
      <c r="G71" s="164">
        <v>11</v>
      </c>
      <c r="H71" s="162">
        <v>250</v>
      </c>
      <c r="I71" s="213">
        <f t="shared" ref="I71:I74" si="4">H71*G71</f>
        <v>2750</v>
      </c>
      <c r="J71" s="154" t="s">
        <v>1077</v>
      </c>
      <c r="K71" s="154" t="s">
        <v>1526</v>
      </c>
      <c r="L71" s="154" t="s">
        <v>1067</v>
      </c>
      <c r="M71" s="154" t="s">
        <v>1189</v>
      </c>
      <c r="N71" s="216" t="s">
        <v>1189</v>
      </c>
    </row>
    <row r="72" spans="1:14" ht="15" customHeight="1">
      <c r="B72" s="154" t="s">
        <v>1520</v>
      </c>
      <c r="C72" s="154" t="s">
        <v>1222</v>
      </c>
      <c r="D72" s="154" t="s">
        <v>1154</v>
      </c>
      <c r="E72" s="194" t="s">
        <v>1223</v>
      </c>
      <c r="F72" s="154" t="s">
        <v>1076</v>
      </c>
      <c r="G72" s="164">
        <v>11</v>
      </c>
      <c r="H72" s="162">
        <v>250</v>
      </c>
      <c r="I72" s="213">
        <f t="shared" si="4"/>
        <v>2750</v>
      </c>
      <c r="J72" s="154" t="s">
        <v>1077</v>
      </c>
      <c r="K72" s="154" t="s">
        <v>1526</v>
      </c>
      <c r="L72" s="154" t="s">
        <v>1067</v>
      </c>
      <c r="M72" s="154" t="s">
        <v>1189</v>
      </c>
      <c r="N72" s="216" t="s">
        <v>1189</v>
      </c>
    </row>
    <row r="73" spans="1:14" ht="15" customHeight="1">
      <c r="B73" s="154" t="s">
        <v>1520</v>
      </c>
      <c r="C73" s="154" t="s">
        <v>1224</v>
      </c>
      <c r="D73" s="154" t="s">
        <v>1154</v>
      </c>
      <c r="E73" s="194" t="s">
        <v>1225</v>
      </c>
      <c r="F73" s="154" t="s">
        <v>1076</v>
      </c>
      <c r="G73" s="164">
        <v>11</v>
      </c>
      <c r="H73" s="162">
        <v>250</v>
      </c>
      <c r="I73" s="213">
        <f t="shared" si="4"/>
        <v>2750</v>
      </c>
      <c r="J73" s="154" t="s">
        <v>1077</v>
      </c>
      <c r="K73" s="154" t="s">
        <v>1526</v>
      </c>
      <c r="L73" s="154" t="s">
        <v>1067</v>
      </c>
      <c r="M73" s="154" t="s">
        <v>1189</v>
      </c>
      <c r="N73" s="216" t="s">
        <v>1189</v>
      </c>
    </row>
    <row r="74" spans="1:14" ht="15" customHeight="1">
      <c r="B74" s="154" t="s">
        <v>1520</v>
      </c>
      <c r="C74" s="154" t="s">
        <v>1226</v>
      </c>
      <c r="D74" s="154" t="s">
        <v>1154</v>
      </c>
      <c r="E74" s="194" t="s">
        <v>1227</v>
      </c>
      <c r="F74" s="154" t="s">
        <v>1076</v>
      </c>
      <c r="G74" s="164">
        <v>11</v>
      </c>
      <c r="H74" s="162">
        <v>250</v>
      </c>
      <c r="I74" s="213">
        <f t="shared" si="4"/>
        <v>2750</v>
      </c>
      <c r="J74" s="154" t="s">
        <v>1077</v>
      </c>
      <c r="K74" s="154" t="s">
        <v>1526</v>
      </c>
      <c r="L74" s="154" t="s">
        <v>1067</v>
      </c>
      <c r="M74" s="154" t="s">
        <v>1189</v>
      </c>
      <c r="N74" s="216" t="s">
        <v>1189</v>
      </c>
    </row>
    <row r="75" spans="1:14" ht="15" customHeight="1">
      <c r="A75" s="159"/>
      <c r="B75" s="159"/>
      <c r="C75" s="159" t="s">
        <v>1228</v>
      </c>
      <c r="D75" s="159" t="s">
        <v>1154</v>
      </c>
      <c r="E75" s="195" t="s">
        <v>1229</v>
      </c>
      <c r="F75" s="159"/>
      <c r="G75" s="161"/>
      <c r="H75" s="163"/>
      <c r="I75" s="212">
        <f>SUM(I76:I78)</f>
        <v>1600</v>
      </c>
      <c r="J75" s="161"/>
      <c r="K75" s="161"/>
      <c r="L75" s="161"/>
      <c r="M75" s="161"/>
      <c r="N75" s="215"/>
    </row>
    <row r="76" spans="1:14" ht="15" customHeight="1">
      <c r="B76" s="154" t="s">
        <v>1520</v>
      </c>
      <c r="C76" s="154" t="s">
        <v>1230</v>
      </c>
      <c r="D76" s="154" t="s">
        <v>1154</v>
      </c>
      <c r="E76" s="194" t="s">
        <v>1231</v>
      </c>
      <c r="F76" s="154" t="s">
        <v>1159</v>
      </c>
      <c r="G76" s="164">
        <v>1</v>
      </c>
      <c r="H76" s="162">
        <v>1000</v>
      </c>
      <c r="I76" s="213">
        <f t="shared" ref="I76:I82" si="5">H76*G76</f>
        <v>1000</v>
      </c>
      <c r="J76" s="154" t="s">
        <v>1087</v>
      </c>
      <c r="K76" s="154" t="s">
        <v>1093</v>
      </c>
      <c r="L76" s="154" t="s">
        <v>1078</v>
      </c>
      <c r="M76" s="154" t="s">
        <v>1532</v>
      </c>
      <c r="N76" s="216">
        <f>VLOOKUP(M76,'FC - outros'!$B$2:$C$21,2,0)</f>
        <v>44445</v>
      </c>
    </row>
    <row r="77" spans="1:14" ht="15" customHeight="1">
      <c r="B77" s="154" t="s">
        <v>1520</v>
      </c>
      <c r="C77" s="154" t="s">
        <v>1232</v>
      </c>
      <c r="D77" s="154" t="s">
        <v>1154</v>
      </c>
      <c r="E77" s="194" t="s">
        <v>1233</v>
      </c>
      <c r="F77" s="154" t="s">
        <v>1076</v>
      </c>
      <c r="G77" s="197">
        <v>2</v>
      </c>
      <c r="H77" s="162">
        <v>150</v>
      </c>
      <c r="I77" s="213">
        <f t="shared" si="5"/>
        <v>300</v>
      </c>
      <c r="J77" s="154" t="s">
        <v>1077</v>
      </c>
      <c r="K77" s="154" t="s">
        <v>1527</v>
      </c>
      <c r="L77" s="154" t="s">
        <v>1078</v>
      </c>
      <c r="M77" s="154" t="s">
        <v>1123</v>
      </c>
      <c r="N77" s="216" t="s">
        <v>1551</v>
      </c>
    </row>
    <row r="78" spans="1:14" ht="15" customHeight="1">
      <c r="B78" s="154" t="s">
        <v>1520</v>
      </c>
      <c r="C78" s="154" t="s">
        <v>1234</v>
      </c>
      <c r="D78" s="154" t="s">
        <v>1154</v>
      </c>
      <c r="E78" s="194" t="s">
        <v>1235</v>
      </c>
      <c r="F78" s="154" t="s">
        <v>1076</v>
      </c>
      <c r="G78" s="197">
        <v>2</v>
      </c>
      <c r="H78" s="162">
        <v>150</v>
      </c>
      <c r="I78" s="213">
        <f t="shared" si="5"/>
        <v>300</v>
      </c>
      <c r="J78" s="154" t="s">
        <v>1077</v>
      </c>
      <c r="K78" s="154" t="s">
        <v>1527</v>
      </c>
      <c r="L78" s="154" t="s">
        <v>1078</v>
      </c>
      <c r="M78" s="154" t="s">
        <v>1236</v>
      </c>
      <c r="N78" s="216" t="s">
        <v>1551</v>
      </c>
    </row>
    <row r="79" spans="1:14" ht="15" customHeight="1">
      <c r="A79" s="159"/>
      <c r="B79" s="159"/>
      <c r="C79" s="159" t="s">
        <v>1237</v>
      </c>
      <c r="D79" s="159" t="s">
        <v>1154</v>
      </c>
      <c r="E79" s="195" t="s">
        <v>1238</v>
      </c>
      <c r="F79" s="159"/>
      <c r="G79" s="161"/>
      <c r="H79" s="163"/>
      <c r="I79" s="212">
        <f>SUM(I80:I82)</f>
        <v>16500</v>
      </c>
      <c r="J79" s="161"/>
      <c r="K79" s="161"/>
      <c r="L79" s="161"/>
      <c r="M79" s="161"/>
      <c r="N79" s="215"/>
    </row>
    <row r="80" spans="1:14" ht="15" customHeight="1">
      <c r="B80" s="154" t="s">
        <v>1520</v>
      </c>
      <c r="C80" s="154" t="s">
        <v>1239</v>
      </c>
      <c r="D80" s="154" t="s">
        <v>1154</v>
      </c>
      <c r="E80" s="194" t="s">
        <v>1240</v>
      </c>
      <c r="F80" s="154" t="s">
        <v>1076</v>
      </c>
      <c r="G80" s="164">
        <v>11</v>
      </c>
      <c r="H80" s="162">
        <v>500</v>
      </c>
      <c r="I80" s="213">
        <f t="shared" si="5"/>
        <v>5500</v>
      </c>
      <c r="J80" s="154" t="s">
        <v>1077</v>
      </c>
      <c r="K80" s="154" t="s">
        <v>1526</v>
      </c>
      <c r="L80" s="154" t="s">
        <v>1067</v>
      </c>
      <c r="M80" s="154" t="s">
        <v>1189</v>
      </c>
      <c r="N80" s="216" t="s">
        <v>1189</v>
      </c>
    </row>
    <row r="81" spans="1:14" ht="15" customHeight="1">
      <c r="B81" s="154" t="s">
        <v>1520</v>
      </c>
      <c r="C81" s="154" t="s">
        <v>1241</v>
      </c>
      <c r="D81" s="154" t="s">
        <v>1154</v>
      </c>
      <c r="E81" s="194" t="s">
        <v>1242</v>
      </c>
      <c r="F81" s="154" t="s">
        <v>1076</v>
      </c>
      <c r="G81" s="164">
        <v>11</v>
      </c>
      <c r="H81" s="162">
        <v>500</v>
      </c>
      <c r="I81" s="213">
        <f t="shared" si="5"/>
        <v>5500</v>
      </c>
      <c r="J81" s="154" t="s">
        <v>1077</v>
      </c>
      <c r="K81" s="154" t="s">
        <v>1526</v>
      </c>
      <c r="L81" s="154" t="s">
        <v>1067</v>
      </c>
      <c r="M81" s="154" t="s">
        <v>1189</v>
      </c>
      <c r="N81" s="216" t="s">
        <v>1189</v>
      </c>
    </row>
    <row r="82" spans="1:14" ht="15" customHeight="1">
      <c r="B82" s="154" t="s">
        <v>1520</v>
      </c>
      <c r="C82" s="154" t="s">
        <v>1243</v>
      </c>
      <c r="D82" s="154" t="s">
        <v>1154</v>
      </c>
      <c r="E82" s="194" t="s">
        <v>1244</v>
      </c>
      <c r="F82" s="154" t="s">
        <v>1076</v>
      </c>
      <c r="G82" s="164">
        <v>11</v>
      </c>
      <c r="H82" s="162">
        <v>500</v>
      </c>
      <c r="I82" s="213">
        <f t="shared" si="5"/>
        <v>5500</v>
      </c>
      <c r="J82" s="154" t="s">
        <v>1077</v>
      </c>
      <c r="K82" s="154" t="s">
        <v>1526</v>
      </c>
      <c r="L82" s="154" t="s">
        <v>1067</v>
      </c>
      <c r="M82" s="154" t="s">
        <v>1189</v>
      </c>
      <c r="N82" s="216" t="s">
        <v>1189</v>
      </c>
    </row>
    <row r="83" spans="1:14" ht="15" customHeight="1">
      <c r="A83" s="159" t="s">
        <v>1518</v>
      </c>
      <c r="B83" s="159" t="s">
        <v>1520</v>
      </c>
      <c r="C83" s="159">
        <v>4</v>
      </c>
      <c r="D83" s="159" t="s">
        <v>1245</v>
      </c>
      <c r="E83" s="195" t="s">
        <v>1245</v>
      </c>
      <c r="F83" s="159"/>
      <c r="G83" s="159"/>
      <c r="H83" s="163"/>
      <c r="I83" s="212">
        <f>I84+I96+I108</f>
        <v>242000</v>
      </c>
      <c r="J83" s="160"/>
      <c r="K83" s="160"/>
      <c r="L83" s="160"/>
      <c r="M83" s="160"/>
      <c r="N83" s="215"/>
    </row>
    <row r="84" spans="1:14" ht="15" customHeight="1">
      <c r="A84" s="159"/>
      <c r="B84" s="159"/>
      <c r="C84" s="159" t="s">
        <v>1246</v>
      </c>
      <c r="D84" s="159" t="s">
        <v>1245</v>
      </c>
      <c r="E84" s="195" t="s">
        <v>1247</v>
      </c>
      <c r="F84" s="159"/>
      <c r="G84" s="159"/>
      <c r="H84" s="163"/>
      <c r="I84" s="212">
        <f>I85</f>
        <v>66000</v>
      </c>
      <c r="J84" s="160"/>
      <c r="K84" s="160"/>
      <c r="L84" s="160"/>
      <c r="M84" s="160"/>
      <c r="N84" s="215"/>
    </row>
    <row r="85" spans="1:14" ht="15" customHeight="1">
      <c r="B85" s="154" t="s">
        <v>1520</v>
      </c>
      <c r="C85" s="154" t="s">
        <v>1248</v>
      </c>
      <c r="D85" s="165" t="s">
        <v>1245</v>
      </c>
      <c r="E85" s="196" t="s">
        <v>1249</v>
      </c>
      <c r="F85" s="154" t="s">
        <v>1076</v>
      </c>
      <c r="G85" s="154">
        <v>11</v>
      </c>
      <c r="H85" s="162">
        <f>18000/3</f>
        <v>6000</v>
      </c>
      <c r="I85" s="213">
        <f>H85*G85</f>
        <v>66000</v>
      </c>
      <c r="J85" s="154" t="s">
        <v>1077</v>
      </c>
      <c r="K85" s="154" t="s">
        <v>1526</v>
      </c>
      <c r="L85" s="154" t="s">
        <v>1067</v>
      </c>
      <c r="M85" s="154" t="s">
        <v>1189</v>
      </c>
      <c r="N85" s="216" t="s">
        <v>1189</v>
      </c>
    </row>
    <row r="86" spans="1:14" ht="15" customHeight="1">
      <c r="B86" s="154" t="s">
        <v>1520</v>
      </c>
      <c r="C86" s="154" t="s">
        <v>1250</v>
      </c>
      <c r="D86" s="165" t="s">
        <v>1245</v>
      </c>
      <c r="E86" s="196" t="s">
        <v>1251</v>
      </c>
      <c r="F86" s="154" t="s">
        <v>1076</v>
      </c>
      <c r="J86" s="162"/>
      <c r="K86" s="162"/>
      <c r="L86" s="162"/>
      <c r="M86" s="162"/>
    </row>
    <row r="87" spans="1:14" ht="15" customHeight="1">
      <c r="B87" s="154" t="s">
        <v>1520</v>
      </c>
      <c r="C87" s="154" t="s">
        <v>1252</v>
      </c>
      <c r="D87" s="165" t="s">
        <v>1245</v>
      </c>
      <c r="E87" s="196" t="s">
        <v>1253</v>
      </c>
      <c r="F87" s="154" t="s">
        <v>1076</v>
      </c>
      <c r="J87" s="162"/>
      <c r="K87" s="162"/>
      <c r="L87" s="162"/>
      <c r="M87" s="162"/>
    </row>
    <row r="88" spans="1:14" ht="15" customHeight="1">
      <c r="B88" s="154" t="s">
        <v>1520</v>
      </c>
      <c r="C88" s="154" t="s">
        <v>1254</v>
      </c>
      <c r="D88" s="165" t="s">
        <v>1245</v>
      </c>
      <c r="E88" s="196" t="s">
        <v>1255</v>
      </c>
      <c r="F88" s="154" t="s">
        <v>1076</v>
      </c>
      <c r="J88" s="162"/>
      <c r="K88" s="162"/>
      <c r="L88" s="162"/>
      <c r="M88" s="162"/>
    </row>
    <row r="89" spans="1:14" ht="15" customHeight="1">
      <c r="B89" s="154" t="s">
        <v>1520</v>
      </c>
      <c r="C89" s="154" t="s">
        <v>1256</v>
      </c>
      <c r="D89" s="165" t="s">
        <v>1245</v>
      </c>
      <c r="E89" s="196" t="s">
        <v>1257</v>
      </c>
      <c r="F89" s="154" t="s">
        <v>1076</v>
      </c>
      <c r="J89" s="162"/>
      <c r="K89" s="162"/>
      <c r="L89" s="162"/>
      <c r="M89" s="162"/>
    </row>
    <row r="90" spans="1:14" ht="15" customHeight="1">
      <c r="B90" s="154" t="s">
        <v>1520</v>
      </c>
      <c r="C90" s="154" t="s">
        <v>1258</v>
      </c>
      <c r="D90" s="165" t="s">
        <v>1245</v>
      </c>
      <c r="E90" s="196" t="s">
        <v>1259</v>
      </c>
      <c r="F90" s="154" t="s">
        <v>1076</v>
      </c>
      <c r="J90" s="162"/>
      <c r="K90" s="162"/>
      <c r="L90" s="162"/>
      <c r="M90" s="162"/>
    </row>
    <row r="91" spans="1:14" ht="15" customHeight="1">
      <c r="B91" s="154" t="s">
        <v>1520</v>
      </c>
      <c r="C91" s="154" t="s">
        <v>1260</v>
      </c>
      <c r="D91" s="165" t="s">
        <v>1245</v>
      </c>
      <c r="E91" s="196" t="s">
        <v>1261</v>
      </c>
      <c r="F91" s="154" t="s">
        <v>1076</v>
      </c>
      <c r="J91" s="162"/>
      <c r="K91" s="162"/>
      <c r="L91" s="162"/>
      <c r="M91" s="162"/>
    </row>
    <row r="92" spans="1:14" ht="15" customHeight="1">
      <c r="B92" s="154" t="s">
        <v>1520</v>
      </c>
      <c r="C92" s="154" t="s">
        <v>1262</v>
      </c>
      <c r="D92" s="165" t="s">
        <v>1245</v>
      </c>
      <c r="E92" s="196" t="s">
        <v>1263</v>
      </c>
      <c r="F92" s="154" t="s">
        <v>1076</v>
      </c>
      <c r="J92" s="162"/>
      <c r="K92" s="162"/>
      <c r="L92" s="162"/>
      <c r="M92" s="162"/>
    </row>
    <row r="93" spans="1:14" ht="15" customHeight="1">
      <c r="B93" s="154" t="s">
        <v>1520</v>
      </c>
      <c r="C93" s="154" t="s">
        <v>1264</v>
      </c>
      <c r="D93" s="165" t="s">
        <v>1245</v>
      </c>
      <c r="E93" s="196" t="s">
        <v>1265</v>
      </c>
      <c r="F93" s="154" t="s">
        <v>1076</v>
      </c>
      <c r="J93" s="162"/>
      <c r="K93" s="162"/>
      <c r="L93" s="162"/>
      <c r="M93" s="162"/>
    </row>
    <row r="94" spans="1:14" ht="15" customHeight="1">
      <c r="B94" s="154" t="s">
        <v>1520</v>
      </c>
      <c r="C94" s="154" t="s">
        <v>1266</v>
      </c>
      <c r="D94" s="165" t="s">
        <v>1245</v>
      </c>
      <c r="E94" s="196" t="s">
        <v>1267</v>
      </c>
      <c r="F94" s="154" t="s">
        <v>1076</v>
      </c>
      <c r="J94" s="162"/>
      <c r="K94" s="162"/>
      <c r="L94" s="162"/>
      <c r="M94" s="162"/>
    </row>
    <row r="95" spans="1:14" ht="15" customHeight="1">
      <c r="B95" s="154" t="s">
        <v>1520</v>
      </c>
      <c r="C95" s="154" t="s">
        <v>1268</v>
      </c>
      <c r="D95" s="165" t="s">
        <v>1245</v>
      </c>
      <c r="E95" s="196" t="s">
        <v>1269</v>
      </c>
      <c r="F95" s="154" t="s">
        <v>1076</v>
      </c>
      <c r="J95" s="162"/>
      <c r="K95" s="162"/>
      <c r="L95" s="162"/>
      <c r="M95" s="162"/>
    </row>
    <row r="96" spans="1:14" ht="15" customHeight="1">
      <c r="A96" s="159"/>
      <c r="B96" s="159"/>
      <c r="C96" s="159" t="s">
        <v>1270</v>
      </c>
      <c r="D96" s="159" t="s">
        <v>1245</v>
      </c>
      <c r="E96" s="195" t="s">
        <v>1271</v>
      </c>
      <c r="F96" s="159"/>
      <c r="G96" s="159"/>
      <c r="H96" s="163"/>
      <c r="I96" s="212">
        <f>I97</f>
        <v>110000</v>
      </c>
      <c r="J96" s="160"/>
      <c r="K96" s="160"/>
      <c r="L96" s="160"/>
      <c r="M96" s="160"/>
      <c r="N96" s="215"/>
    </row>
    <row r="97" spans="1:14" ht="15" customHeight="1">
      <c r="B97" s="154" t="s">
        <v>1520</v>
      </c>
      <c r="C97" s="154" t="s">
        <v>1272</v>
      </c>
      <c r="D97" s="165" t="s">
        <v>1245</v>
      </c>
      <c r="E97" s="196" t="s">
        <v>1273</v>
      </c>
      <c r="F97" s="154" t="s">
        <v>1076</v>
      </c>
      <c r="G97" s="154">
        <v>11</v>
      </c>
      <c r="H97" s="162">
        <v>10000</v>
      </c>
      <c r="I97" s="213">
        <f>H97*G97</f>
        <v>110000</v>
      </c>
      <c r="J97" s="154" t="s">
        <v>1077</v>
      </c>
      <c r="K97" s="154" t="s">
        <v>1526</v>
      </c>
      <c r="L97" s="154" t="s">
        <v>1067</v>
      </c>
      <c r="M97" s="154" t="s">
        <v>1189</v>
      </c>
      <c r="N97" s="216" t="s">
        <v>1189</v>
      </c>
    </row>
    <row r="98" spans="1:14" ht="15" customHeight="1">
      <c r="B98" s="154" t="s">
        <v>1520</v>
      </c>
      <c r="C98" s="154" t="s">
        <v>1274</v>
      </c>
      <c r="D98" s="165" t="s">
        <v>1245</v>
      </c>
      <c r="E98" s="196" t="s">
        <v>1275</v>
      </c>
      <c r="F98" s="154" t="s">
        <v>1076</v>
      </c>
      <c r="J98" s="162"/>
      <c r="K98" s="162"/>
      <c r="L98" s="162"/>
      <c r="M98" s="162"/>
    </row>
    <row r="99" spans="1:14" ht="15" customHeight="1">
      <c r="B99" s="154" t="s">
        <v>1520</v>
      </c>
      <c r="C99" s="154" t="s">
        <v>1276</v>
      </c>
      <c r="D99" s="165" t="s">
        <v>1245</v>
      </c>
      <c r="E99" s="196" t="s">
        <v>1277</v>
      </c>
      <c r="F99" s="154" t="s">
        <v>1076</v>
      </c>
      <c r="J99" s="162"/>
      <c r="K99" s="162"/>
      <c r="L99" s="162"/>
      <c r="M99" s="162"/>
    </row>
    <row r="100" spans="1:14" ht="15" customHeight="1">
      <c r="B100" s="154" t="s">
        <v>1520</v>
      </c>
      <c r="C100" s="154" t="s">
        <v>1278</v>
      </c>
      <c r="D100" s="165" t="s">
        <v>1245</v>
      </c>
      <c r="E100" s="196" t="s">
        <v>1279</v>
      </c>
      <c r="F100" s="154" t="s">
        <v>1076</v>
      </c>
      <c r="J100" s="162"/>
      <c r="K100" s="162"/>
      <c r="L100" s="162"/>
      <c r="M100" s="162"/>
    </row>
    <row r="101" spans="1:14" ht="15" customHeight="1">
      <c r="B101" s="154" t="s">
        <v>1520</v>
      </c>
      <c r="C101" s="154" t="s">
        <v>1280</v>
      </c>
      <c r="D101" s="165" t="s">
        <v>1245</v>
      </c>
      <c r="E101" s="196" t="s">
        <v>1281</v>
      </c>
      <c r="F101" s="154" t="s">
        <v>1076</v>
      </c>
      <c r="J101" s="162"/>
      <c r="K101" s="162"/>
      <c r="L101" s="162"/>
      <c r="M101" s="162"/>
    </row>
    <row r="102" spans="1:14" ht="15" customHeight="1">
      <c r="B102" s="154" t="s">
        <v>1520</v>
      </c>
      <c r="C102" s="154" t="s">
        <v>1282</v>
      </c>
      <c r="D102" s="165" t="s">
        <v>1245</v>
      </c>
      <c r="E102" s="196" t="s">
        <v>1283</v>
      </c>
      <c r="F102" s="154" t="s">
        <v>1076</v>
      </c>
      <c r="J102" s="162"/>
      <c r="K102" s="162"/>
      <c r="L102" s="162"/>
      <c r="M102" s="162"/>
    </row>
    <row r="103" spans="1:14" ht="15" customHeight="1">
      <c r="B103" s="154" t="s">
        <v>1520</v>
      </c>
      <c r="C103" s="154" t="s">
        <v>1284</v>
      </c>
      <c r="D103" s="165" t="s">
        <v>1245</v>
      </c>
      <c r="E103" s="196" t="s">
        <v>1285</v>
      </c>
      <c r="F103" s="154" t="s">
        <v>1076</v>
      </c>
      <c r="J103" s="162"/>
      <c r="K103" s="162"/>
      <c r="L103" s="162"/>
      <c r="M103" s="162"/>
    </row>
    <row r="104" spans="1:14" ht="15" customHeight="1">
      <c r="B104" s="154" t="s">
        <v>1520</v>
      </c>
      <c r="C104" s="154" t="s">
        <v>1286</v>
      </c>
      <c r="D104" s="165" t="s">
        <v>1245</v>
      </c>
      <c r="E104" s="196" t="s">
        <v>1287</v>
      </c>
      <c r="F104" s="154" t="s">
        <v>1076</v>
      </c>
      <c r="J104" s="162"/>
      <c r="K104" s="162"/>
      <c r="L104" s="162"/>
      <c r="M104" s="162"/>
    </row>
    <row r="105" spans="1:14" ht="15" customHeight="1">
      <c r="B105" s="154" t="s">
        <v>1520</v>
      </c>
      <c r="C105" s="154" t="s">
        <v>1288</v>
      </c>
      <c r="D105" s="165" t="s">
        <v>1245</v>
      </c>
      <c r="E105" s="196" t="s">
        <v>1289</v>
      </c>
      <c r="F105" s="154" t="s">
        <v>1076</v>
      </c>
      <c r="J105" s="162"/>
      <c r="K105" s="162"/>
      <c r="L105" s="162"/>
      <c r="M105" s="162"/>
    </row>
    <row r="106" spans="1:14" ht="15" customHeight="1">
      <c r="B106" s="154" t="s">
        <v>1520</v>
      </c>
      <c r="C106" s="154" t="s">
        <v>1290</v>
      </c>
      <c r="D106" s="165" t="s">
        <v>1245</v>
      </c>
      <c r="E106" s="196" t="s">
        <v>1291</v>
      </c>
      <c r="F106" s="154" t="s">
        <v>1159</v>
      </c>
      <c r="J106" s="162"/>
      <c r="K106" s="162"/>
      <c r="L106" s="162"/>
      <c r="M106" s="162"/>
    </row>
    <row r="107" spans="1:14" ht="15" customHeight="1">
      <c r="B107" s="154" t="s">
        <v>1520</v>
      </c>
      <c r="C107" s="154" t="s">
        <v>1292</v>
      </c>
      <c r="D107" s="165" t="s">
        <v>1245</v>
      </c>
      <c r="E107" s="196" t="s">
        <v>1293</v>
      </c>
      <c r="F107" s="154" t="s">
        <v>1159</v>
      </c>
      <c r="J107" s="162"/>
      <c r="K107" s="162"/>
      <c r="L107" s="162"/>
      <c r="M107" s="162"/>
    </row>
    <row r="108" spans="1:14" ht="15" customHeight="1">
      <c r="A108" s="159"/>
      <c r="B108" s="159"/>
      <c r="C108" s="159" t="s">
        <v>1294</v>
      </c>
      <c r="D108" s="159" t="s">
        <v>1245</v>
      </c>
      <c r="E108" s="195" t="s">
        <v>1295</v>
      </c>
      <c r="F108" s="159"/>
      <c r="G108" s="159"/>
      <c r="H108" s="163"/>
      <c r="I108" s="212">
        <f>I109</f>
        <v>66000</v>
      </c>
      <c r="J108" s="160"/>
      <c r="K108" s="160"/>
      <c r="L108" s="160"/>
      <c r="M108" s="160"/>
      <c r="N108" s="215"/>
    </row>
    <row r="109" spans="1:14" ht="15" customHeight="1">
      <c r="B109" s="154" t="s">
        <v>1520</v>
      </c>
      <c r="C109" s="154" t="s">
        <v>1296</v>
      </c>
      <c r="D109" s="154" t="s">
        <v>1245</v>
      </c>
      <c r="E109" s="194" t="s">
        <v>1297</v>
      </c>
      <c r="F109" s="154" t="s">
        <v>1076</v>
      </c>
      <c r="G109" s="154">
        <v>11</v>
      </c>
      <c r="H109" s="162">
        <v>6000</v>
      </c>
      <c r="I109" s="213">
        <f>H109*G109</f>
        <v>66000</v>
      </c>
      <c r="J109" s="154" t="s">
        <v>1077</v>
      </c>
      <c r="K109" s="154" t="s">
        <v>1526</v>
      </c>
      <c r="L109" s="154" t="s">
        <v>1067</v>
      </c>
      <c r="M109" s="154" t="s">
        <v>1189</v>
      </c>
      <c r="N109" s="216" t="s">
        <v>1189</v>
      </c>
    </row>
    <row r="110" spans="1:14" ht="15" customHeight="1">
      <c r="B110" s="154" t="s">
        <v>1520</v>
      </c>
      <c r="C110" s="154" t="s">
        <v>1298</v>
      </c>
      <c r="D110" s="154" t="s">
        <v>1245</v>
      </c>
      <c r="E110" s="194" t="s">
        <v>1299</v>
      </c>
      <c r="F110" s="154" t="s">
        <v>1076</v>
      </c>
      <c r="J110" s="162"/>
      <c r="K110" s="162"/>
      <c r="L110" s="162"/>
      <c r="M110" s="162"/>
    </row>
    <row r="111" spans="1:14" ht="15" customHeight="1">
      <c r="B111" s="154" t="s">
        <v>1520</v>
      </c>
      <c r="C111" s="154" t="s">
        <v>1300</v>
      </c>
      <c r="D111" s="154" t="s">
        <v>1245</v>
      </c>
      <c r="E111" s="194" t="s">
        <v>1301</v>
      </c>
      <c r="F111" s="154" t="s">
        <v>1076</v>
      </c>
      <c r="J111" s="162"/>
      <c r="K111" s="162"/>
      <c r="L111" s="162"/>
      <c r="M111" s="162"/>
    </row>
    <row r="112" spans="1:14" ht="15" customHeight="1">
      <c r="B112" s="154" t="s">
        <v>1520</v>
      </c>
      <c r="C112" s="154" t="s">
        <v>1302</v>
      </c>
      <c r="D112" s="154" t="s">
        <v>1245</v>
      </c>
      <c r="E112" s="194" t="s">
        <v>1303</v>
      </c>
      <c r="F112" s="154" t="s">
        <v>1076</v>
      </c>
      <c r="J112" s="162"/>
      <c r="K112" s="162"/>
      <c r="L112" s="162"/>
      <c r="M112" s="162"/>
    </row>
    <row r="113" spans="1:14" ht="15" customHeight="1">
      <c r="B113" s="154" t="s">
        <v>1520</v>
      </c>
      <c r="C113" s="154" t="s">
        <v>1304</v>
      </c>
      <c r="D113" s="154" t="s">
        <v>1245</v>
      </c>
      <c r="E113" s="194" t="s">
        <v>1305</v>
      </c>
      <c r="F113" s="154" t="s">
        <v>1076</v>
      </c>
      <c r="J113" s="162"/>
      <c r="K113" s="162"/>
      <c r="L113" s="162"/>
      <c r="M113" s="162"/>
    </row>
    <row r="114" spans="1:14" ht="15" customHeight="1">
      <c r="B114" s="154" t="s">
        <v>1520</v>
      </c>
      <c r="C114" s="154" t="s">
        <v>1306</v>
      </c>
      <c r="D114" s="154" t="s">
        <v>1245</v>
      </c>
      <c r="E114" s="194" t="s">
        <v>1307</v>
      </c>
      <c r="F114" s="154" t="s">
        <v>1076</v>
      </c>
      <c r="J114" s="162"/>
      <c r="K114" s="162"/>
      <c r="L114" s="162"/>
      <c r="M114" s="162"/>
    </row>
    <row r="115" spans="1:14" ht="15" customHeight="1">
      <c r="B115" s="154" t="s">
        <v>1520</v>
      </c>
      <c r="C115" s="154" t="s">
        <v>1308</v>
      </c>
      <c r="D115" s="154" t="s">
        <v>1245</v>
      </c>
      <c r="E115" s="194" t="s">
        <v>1309</v>
      </c>
      <c r="F115" s="154" t="s">
        <v>1076</v>
      </c>
      <c r="J115" s="162"/>
      <c r="K115" s="162"/>
      <c r="L115" s="162"/>
      <c r="M115" s="162"/>
    </row>
    <row r="116" spans="1:14" ht="15" customHeight="1">
      <c r="B116" s="154" t="s">
        <v>1520</v>
      </c>
      <c r="C116" s="154" t="s">
        <v>1310</v>
      </c>
      <c r="D116" s="154" t="s">
        <v>1245</v>
      </c>
      <c r="E116" s="194" t="s">
        <v>1311</v>
      </c>
      <c r="F116" s="154" t="s">
        <v>1076</v>
      </c>
      <c r="J116" s="162"/>
      <c r="K116" s="162"/>
      <c r="L116" s="162"/>
      <c r="M116" s="162"/>
    </row>
    <row r="117" spans="1:14" ht="15" customHeight="1">
      <c r="B117" s="154" t="s">
        <v>1520</v>
      </c>
      <c r="C117" s="154" t="s">
        <v>1312</v>
      </c>
      <c r="D117" s="154" t="s">
        <v>1245</v>
      </c>
      <c r="E117" s="194" t="s">
        <v>1313</v>
      </c>
      <c r="F117" s="154" t="s">
        <v>1076</v>
      </c>
      <c r="J117" s="162"/>
      <c r="K117" s="162"/>
      <c r="L117" s="162"/>
      <c r="M117" s="162"/>
    </row>
    <row r="118" spans="1:14" ht="15" customHeight="1">
      <c r="B118" s="154" t="s">
        <v>1520</v>
      </c>
      <c r="C118" s="154" t="s">
        <v>1314</v>
      </c>
      <c r="D118" s="154" t="s">
        <v>1245</v>
      </c>
      <c r="E118" s="194" t="s">
        <v>1315</v>
      </c>
      <c r="F118" s="154" t="s">
        <v>1076</v>
      </c>
      <c r="J118" s="162"/>
      <c r="K118" s="162"/>
      <c r="L118" s="162"/>
      <c r="M118" s="162"/>
    </row>
    <row r="119" spans="1:14" ht="15" customHeight="1">
      <c r="B119" s="154" t="s">
        <v>1520</v>
      </c>
      <c r="C119" s="154" t="s">
        <v>1316</v>
      </c>
      <c r="D119" s="154" t="s">
        <v>1245</v>
      </c>
      <c r="E119" s="194" t="s">
        <v>1317</v>
      </c>
      <c r="F119" s="154" t="s">
        <v>1159</v>
      </c>
      <c r="J119" s="162"/>
      <c r="K119" s="162"/>
      <c r="L119" s="162"/>
      <c r="M119" s="162"/>
    </row>
    <row r="120" spans="1:14" ht="15" customHeight="1">
      <c r="A120" s="159" t="s">
        <v>1518</v>
      </c>
      <c r="B120" s="159" t="s">
        <v>1522</v>
      </c>
      <c r="C120" s="159">
        <v>5</v>
      </c>
      <c r="D120" s="159" t="s">
        <v>1318</v>
      </c>
      <c r="E120" s="195" t="s">
        <v>1318</v>
      </c>
      <c r="F120" s="159"/>
      <c r="G120" s="159"/>
      <c r="H120" s="163"/>
      <c r="I120" s="212">
        <f>I121+I132+I136</f>
        <v>16400</v>
      </c>
      <c r="J120" s="161"/>
      <c r="K120" s="161"/>
      <c r="L120" s="161"/>
      <c r="M120" s="161"/>
      <c r="N120" s="215"/>
    </row>
    <row r="121" spans="1:14" ht="15" customHeight="1">
      <c r="A121" s="159"/>
      <c r="B121" s="159"/>
      <c r="C121" s="159" t="s">
        <v>1319</v>
      </c>
      <c r="D121" s="159" t="s">
        <v>1318</v>
      </c>
      <c r="E121" s="195" t="s">
        <v>1320</v>
      </c>
      <c r="F121" s="159"/>
      <c r="G121" s="159"/>
      <c r="H121" s="163"/>
      <c r="I121" s="212">
        <f>SUM(I122:I131)</f>
        <v>15000</v>
      </c>
      <c r="J121" s="161"/>
      <c r="K121" s="161"/>
      <c r="L121" s="161"/>
      <c r="M121" s="161"/>
      <c r="N121" s="215"/>
    </row>
    <row r="122" spans="1:14" ht="15" customHeight="1">
      <c r="B122" s="154" t="s">
        <v>1522</v>
      </c>
      <c r="C122" s="154" t="s">
        <v>1321</v>
      </c>
      <c r="D122" s="154" t="s">
        <v>1318</v>
      </c>
      <c r="E122" s="194" t="s">
        <v>1322</v>
      </c>
      <c r="F122" s="154" t="s">
        <v>1159</v>
      </c>
      <c r="G122" s="154">
        <v>1</v>
      </c>
      <c r="H122" s="162">
        <v>1500</v>
      </c>
      <c r="I122" s="213">
        <f t="shared" ref="I122:I131" si="6">H122*G122</f>
        <v>1500</v>
      </c>
      <c r="J122" s="162" t="s">
        <v>1087</v>
      </c>
      <c r="K122" s="162" t="s">
        <v>1088</v>
      </c>
      <c r="L122" s="162" t="s">
        <v>1160</v>
      </c>
      <c r="M122" s="162" t="s">
        <v>1323</v>
      </c>
      <c r="N122" s="216">
        <f>VLOOKUP(M122,'FC - outros'!$B$2:$C$21,2,0)</f>
        <v>44408</v>
      </c>
    </row>
    <row r="123" spans="1:14" ht="15" customHeight="1">
      <c r="B123" s="154" t="s">
        <v>1522</v>
      </c>
      <c r="C123" s="154" t="s">
        <v>1324</v>
      </c>
      <c r="D123" s="154" t="s">
        <v>1318</v>
      </c>
      <c r="E123" s="194" t="s">
        <v>1325</v>
      </c>
      <c r="F123" s="154" t="s">
        <v>1159</v>
      </c>
      <c r="G123" s="154">
        <v>1</v>
      </c>
      <c r="H123" s="162">
        <v>1500</v>
      </c>
      <c r="I123" s="213">
        <f t="shared" si="6"/>
        <v>1500</v>
      </c>
      <c r="J123" s="162" t="s">
        <v>1087</v>
      </c>
      <c r="K123" s="162" t="s">
        <v>1088</v>
      </c>
      <c r="L123" s="162" t="s">
        <v>1160</v>
      </c>
      <c r="M123" s="162" t="s">
        <v>1323</v>
      </c>
      <c r="N123" s="216">
        <f>VLOOKUP(M123,'FC - outros'!$B$2:$C$21,2,0)</f>
        <v>44408</v>
      </c>
    </row>
    <row r="124" spans="1:14" ht="15" customHeight="1">
      <c r="B124" s="154" t="s">
        <v>1522</v>
      </c>
      <c r="C124" s="154" t="s">
        <v>1326</v>
      </c>
      <c r="D124" s="154" t="s">
        <v>1318</v>
      </c>
      <c r="E124" s="194" t="s">
        <v>1327</v>
      </c>
      <c r="F124" s="154" t="s">
        <v>1159</v>
      </c>
      <c r="G124" s="154">
        <v>1</v>
      </c>
      <c r="H124" s="162">
        <v>1500</v>
      </c>
      <c r="I124" s="213">
        <f t="shared" si="6"/>
        <v>1500</v>
      </c>
      <c r="J124" s="162" t="s">
        <v>1087</v>
      </c>
      <c r="K124" s="162" t="s">
        <v>1088</v>
      </c>
      <c r="L124" s="162" t="s">
        <v>1160</v>
      </c>
      <c r="M124" s="162" t="s">
        <v>1323</v>
      </c>
      <c r="N124" s="216">
        <f>VLOOKUP(M124,'FC - outros'!$B$2:$C$21,2,0)</f>
        <v>44408</v>
      </c>
    </row>
    <row r="125" spans="1:14" ht="15" customHeight="1">
      <c r="B125" s="154" t="s">
        <v>1522</v>
      </c>
      <c r="C125" s="154" t="s">
        <v>1328</v>
      </c>
      <c r="D125" s="154" t="s">
        <v>1318</v>
      </c>
      <c r="E125" s="194" t="s">
        <v>1329</v>
      </c>
      <c r="F125" s="154" t="s">
        <v>1159</v>
      </c>
      <c r="G125" s="154">
        <v>1</v>
      </c>
      <c r="H125" s="162">
        <v>1500</v>
      </c>
      <c r="I125" s="213">
        <f t="shared" si="6"/>
        <v>1500</v>
      </c>
      <c r="J125" s="162" t="s">
        <v>1087</v>
      </c>
      <c r="K125" s="162" t="s">
        <v>1088</v>
      </c>
      <c r="L125" s="162" t="s">
        <v>1160</v>
      </c>
      <c r="M125" s="162" t="s">
        <v>1323</v>
      </c>
      <c r="N125" s="216">
        <f>VLOOKUP(M125,'FC - outros'!$B$2:$C$21,2,0)</f>
        <v>44408</v>
      </c>
    </row>
    <row r="126" spans="1:14" ht="15" customHeight="1">
      <c r="B126" s="154" t="s">
        <v>1522</v>
      </c>
      <c r="C126" s="154" t="s">
        <v>1330</v>
      </c>
      <c r="D126" s="154" t="s">
        <v>1318</v>
      </c>
      <c r="E126" s="194" t="s">
        <v>1331</v>
      </c>
      <c r="F126" s="154" t="s">
        <v>1159</v>
      </c>
      <c r="G126" s="154">
        <v>1</v>
      </c>
      <c r="H126" s="162">
        <v>1500</v>
      </c>
      <c r="I126" s="213">
        <f t="shared" si="6"/>
        <v>1500</v>
      </c>
      <c r="J126" s="162" t="s">
        <v>1087</v>
      </c>
      <c r="K126" s="162" t="s">
        <v>1088</v>
      </c>
      <c r="L126" s="162" t="s">
        <v>1160</v>
      </c>
      <c r="M126" s="162" t="s">
        <v>1323</v>
      </c>
      <c r="N126" s="216">
        <f>VLOOKUP(M126,'FC - outros'!$B$2:$C$21,2,0)</f>
        <v>44408</v>
      </c>
    </row>
    <row r="127" spans="1:14" ht="15" customHeight="1">
      <c r="B127" s="154" t="s">
        <v>1522</v>
      </c>
      <c r="C127" s="154" t="s">
        <v>1332</v>
      </c>
      <c r="D127" s="154" t="s">
        <v>1318</v>
      </c>
      <c r="E127" s="194" t="s">
        <v>1333</v>
      </c>
      <c r="F127" s="154" t="s">
        <v>1159</v>
      </c>
      <c r="G127" s="154">
        <v>1</v>
      </c>
      <c r="H127" s="162">
        <v>1500</v>
      </c>
      <c r="I127" s="213">
        <f t="shared" si="6"/>
        <v>1500</v>
      </c>
      <c r="J127" s="162" t="s">
        <v>1087</v>
      </c>
      <c r="K127" s="162" t="s">
        <v>1088</v>
      </c>
      <c r="L127" s="162" t="s">
        <v>1160</v>
      </c>
      <c r="M127" s="162" t="s">
        <v>1323</v>
      </c>
      <c r="N127" s="216">
        <f>VLOOKUP(M127,'FC - outros'!$B$2:$C$21,2,0)</f>
        <v>44408</v>
      </c>
    </row>
    <row r="128" spans="1:14" ht="15" customHeight="1">
      <c r="B128" s="154" t="s">
        <v>1522</v>
      </c>
      <c r="C128" s="154" t="s">
        <v>1334</v>
      </c>
      <c r="D128" s="154" t="s">
        <v>1318</v>
      </c>
      <c r="E128" s="194" t="s">
        <v>1335</v>
      </c>
      <c r="F128" s="154" t="s">
        <v>1159</v>
      </c>
      <c r="G128" s="154">
        <v>1</v>
      </c>
      <c r="H128" s="162">
        <v>1500</v>
      </c>
      <c r="I128" s="213">
        <f t="shared" si="6"/>
        <v>1500</v>
      </c>
      <c r="J128" s="162" t="s">
        <v>1087</v>
      </c>
      <c r="K128" s="162" t="s">
        <v>1088</v>
      </c>
      <c r="L128" s="162" t="s">
        <v>1160</v>
      </c>
      <c r="M128" s="162" t="s">
        <v>1323</v>
      </c>
      <c r="N128" s="216">
        <f>VLOOKUP(M128,'FC - outros'!$B$2:$C$21,2,0)</f>
        <v>44408</v>
      </c>
    </row>
    <row r="129" spans="1:14" ht="15" customHeight="1">
      <c r="B129" s="154" t="s">
        <v>1522</v>
      </c>
      <c r="C129" s="154" t="s">
        <v>1336</v>
      </c>
      <c r="D129" s="154" t="s">
        <v>1318</v>
      </c>
      <c r="E129" s="194" t="s">
        <v>1337</v>
      </c>
      <c r="F129" s="154" t="s">
        <v>1159</v>
      </c>
      <c r="G129" s="154">
        <v>1</v>
      </c>
      <c r="H129" s="162">
        <v>1500</v>
      </c>
      <c r="I129" s="213">
        <f t="shared" si="6"/>
        <v>1500</v>
      </c>
      <c r="J129" s="162" t="s">
        <v>1087</v>
      </c>
      <c r="K129" s="162" t="s">
        <v>1088</v>
      </c>
      <c r="L129" s="162" t="s">
        <v>1160</v>
      </c>
      <c r="M129" s="162" t="s">
        <v>1323</v>
      </c>
      <c r="N129" s="216">
        <f>VLOOKUP(M129,'FC - outros'!$B$2:$C$21,2,0)</f>
        <v>44408</v>
      </c>
    </row>
    <row r="130" spans="1:14" ht="15" customHeight="1">
      <c r="B130" s="154" t="s">
        <v>1522</v>
      </c>
      <c r="C130" s="154" t="s">
        <v>1338</v>
      </c>
      <c r="D130" s="154" t="s">
        <v>1318</v>
      </c>
      <c r="E130" s="194" t="s">
        <v>1339</v>
      </c>
      <c r="F130" s="154" t="s">
        <v>1159</v>
      </c>
      <c r="G130" s="154">
        <v>1</v>
      </c>
      <c r="H130" s="162">
        <v>1500</v>
      </c>
      <c r="I130" s="213">
        <f t="shared" si="6"/>
        <v>1500</v>
      </c>
      <c r="J130" s="162" t="s">
        <v>1087</v>
      </c>
      <c r="K130" s="162" t="s">
        <v>1088</v>
      </c>
      <c r="L130" s="162" t="s">
        <v>1160</v>
      </c>
      <c r="M130" s="162" t="s">
        <v>1323</v>
      </c>
      <c r="N130" s="216">
        <f>VLOOKUP(M130,'FC - outros'!$B$2:$C$21,2,0)</f>
        <v>44408</v>
      </c>
    </row>
    <row r="131" spans="1:14" ht="15" customHeight="1">
      <c r="B131" s="154" t="s">
        <v>1522</v>
      </c>
      <c r="C131" s="154" t="s">
        <v>1340</v>
      </c>
      <c r="D131" s="154" t="s">
        <v>1318</v>
      </c>
      <c r="E131" s="194" t="s">
        <v>1341</v>
      </c>
      <c r="F131" s="154" t="s">
        <v>1159</v>
      </c>
      <c r="G131" s="154">
        <v>1</v>
      </c>
      <c r="H131" s="162">
        <v>1500</v>
      </c>
      <c r="I131" s="213">
        <f t="shared" si="6"/>
        <v>1500</v>
      </c>
      <c r="J131" s="162" t="s">
        <v>1087</v>
      </c>
      <c r="K131" s="162" t="s">
        <v>1088</v>
      </c>
      <c r="L131" s="162" t="s">
        <v>1160</v>
      </c>
      <c r="M131" s="162" t="s">
        <v>1323</v>
      </c>
      <c r="N131" s="216">
        <f>VLOOKUP(M131,'FC - outros'!$B$2:$C$21,2,0)</f>
        <v>44408</v>
      </c>
    </row>
    <row r="132" spans="1:14" ht="15" customHeight="1">
      <c r="A132" s="159"/>
      <c r="B132" s="159"/>
      <c r="C132" s="159" t="s">
        <v>1342</v>
      </c>
      <c r="D132" s="159" t="s">
        <v>1318</v>
      </c>
      <c r="E132" s="195" t="s">
        <v>1343</v>
      </c>
      <c r="F132" s="159"/>
      <c r="G132" s="159"/>
      <c r="H132" s="163"/>
      <c r="I132" s="212">
        <f>SUM(I133:I135)</f>
        <v>600</v>
      </c>
      <c r="J132" s="161"/>
      <c r="K132" s="161"/>
      <c r="L132" s="161"/>
      <c r="M132" s="161"/>
      <c r="N132" s="215"/>
    </row>
    <row r="133" spans="1:14" ht="15" customHeight="1">
      <c r="B133" s="154" t="s">
        <v>1522</v>
      </c>
      <c r="C133" s="154" t="s">
        <v>1344</v>
      </c>
      <c r="D133" s="154" t="s">
        <v>1318</v>
      </c>
      <c r="E133" s="194" t="s">
        <v>1345</v>
      </c>
      <c r="F133" s="154" t="s">
        <v>1159</v>
      </c>
      <c r="G133" s="154">
        <v>1</v>
      </c>
      <c r="H133" s="162">
        <v>200</v>
      </c>
      <c r="I133" s="213">
        <f>H133*G133</f>
        <v>200</v>
      </c>
      <c r="J133" s="162" t="s">
        <v>1087</v>
      </c>
      <c r="K133" s="162" t="s">
        <v>1088</v>
      </c>
      <c r="L133" s="162" t="s">
        <v>1160</v>
      </c>
      <c r="M133" s="162" t="s">
        <v>1323</v>
      </c>
      <c r="N133" s="216">
        <f>VLOOKUP(M133,'FC - outros'!$B$2:$C$21,2,0)</f>
        <v>44408</v>
      </c>
    </row>
    <row r="134" spans="1:14" ht="15" customHeight="1">
      <c r="B134" s="154" t="s">
        <v>1522</v>
      </c>
      <c r="C134" s="154" t="s">
        <v>1346</v>
      </c>
      <c r="D134" s="154" t="s">
        <v>1318</v>
      </c>
      <c r="E134" s="194" t="s">
        <v>1347</v>
      </c>
      <c r="F134" s="154" t="s">
        <v>1159</v>
      </c>
      <c r="G134" s="154">
        <v>1</v>
      </c>
      <c r="H134" s="162">
        <v>200</v>
      </c>
      <c r="I134" s="213">
        <f>H134*G134</f>
        <v>200</v>
      </c>
      <c r="J134" s="162" t="s">
        <v>1087</v>
      </c>
      <c r="K134" s="162" t="s">
        <v>1088</v>
      </c>
      <c r="L134" s="162" t="s">
        <v>1160</v>
      </c>
      <c r="M134" s="162" t="s">
        <v>1323</v>
      </c>
      <c r="N134" s="216">
        <f>VLOOKUP(M134,'FC - outros'!$B$2:$C$21,2,0)</f>
        <v>44408</v>
      </c>
    </row>
    <row r="135" spans="1:14" ht="15" customHeight="1">
      <c r="B135" s="154" t="s">
        <v>1522</v>
      </c>
      <c r="C135" s="154" t="s">
        <v>1348</v>
      </c>
      <c r="D135" s="154" t="s">
        <v>1318</v>
      </c>
      <c r="E135" s="194" t="s">
        <v>1349</v>
      </c>
      <c r="F135" s="154" t="s">
        <v>1159</v>
      </c>
      <c r="G135" s="154">
        <v>1</v>
      </c>
      <c r="H135" s="162">
        <v>200</v>
      </c>
      <c r="I135" s="213">
        <f>H135*G135</f>
        <v>200</v>
      </c>
      <c r="J135" s="162" t="s">
        <v>1087</v>
      </c>
      <c r="K135" s="162" t="s">
        <v>1088</v>
      </c>
      <c r="L135" s="162" t="s">
        <v>1160</v>
      </c>
      <c r="M135" s="162" t="s">
        <v>1323</v>
      </c>
      <c r="N135" s="216">
        <f>VLOOKUP(M135,'FC - outros'!$B$2:$C$21,2,0)</f>
        <v>44408</v>
      </c>
    </row>
    <row r="136" spans="1:14" ht="15" customHeight="1">
      <c r="A136" s="159"/>
      <c r="B136" s="159"/>
      <c r="C136" s="159" t="s">
        <v>1350</v>
      </c>
      <c r="D136" s="159" t="s">
        <v>1318</v>
      </c>
      <c r="E136" s="195" t="s">
        <v>1351</v>
      </c>
      <c r="F136" s="159"/>
      <c r="G136" s="159"/>
      <c r="H136" s="163"/>
      <c r="I136" s="212">
        <f>SUM(I137:I140)</f>
        <v>800</v>
      </c>
      <c r="J136" s="161"/>
      <c r="K136" s="161"/>
      <c r="L136" s="161"/>
      <c r="M136" s="161"/>
      <c r="N136" s="215"/>
    </row>
    <row r="137" spans="1:14" ht="15" customHeight="1">
      <c r="B137" s="154" t="s">
        <v>1522</v>
      </c>
      <c r="C137" s="154" t="s">
        <v>1352</v>
      </c>
      <c r="D137" s="154" t="s">
        <v>1318</v>
      </c>
      <c r="E137" s="194" t="s">
        <v>1353</v>
      </c>
      <c r="F137" s="154" t="s">
        <v>1159</v>
      </c>
      <c r="G137" s="154">
        <v>1</v>
      </c>
      <c r="H137" s="162">
        <v>200</v>
      </c>
      <c r="I137" s="213">
        <f>H137*G137</f>
        <v>200</v>
      </c>
      <c r="J137" s="162" t="s">
        <v>1087</v>
      </c>
      <c r="K137" s="162" t="s">
        <v>1088</v>
      </c>
      <c r="L137" s="162" t="s">
        <v>1160</v>
      </c>
      <c r="M137" s="162" t="s">
        <v>1323</v>
      </c>
      <c r="N137" s="216">
        <f>VLOOKUP(M137,'FC - outros'!$B$2:$C$21,2,0)</f>
        <v>44408</v>
      </c>
    </row>
    <row r="138" spans="1:14" ht="15" customHeight="1">
      <c r="B138" s="154" t="s">
        <v>1522</v>
      </c>
      <c r="C138" s="154" t="s">
        <v>1354</v>
      </c>
      <c r="D138" s="154" t="s">
        <v>1318</v>
      </c>
      <c r="E138" s="194" t="s">
        <v>1355</v>
      </c>
      <c r="F138" s="154" t="s">
        <v>1159</v>
      </c>
      <c r="G138" s="154">
        <v>1</v>
      </c>
      <c r="H138" s="162">
        <v>200</v>
      </c>
      <c r="I138" s="213">
        <f>H138*G138</f>
        <v>200</v>
      </c>
      <c r="J138" s="162" t="s">
        <v>1087</v>
      </c>
      <c r="K138" s="154" t="s">
        <v>1093</v>
      </c>
      <c r="L138" s="162" t="s">
        <v>1160</v>
      </c>
      <c r="M138" s="162" t="s">
        <v>1063</v>
      </c>
      <c r="N138" s="216">
        <f>VLOOKUP(M138,'FC - outros'!$B$2:$C$21,2,0)</f>
        <v>44713</v>
      </c>
    </row>
    <row r="139" spans="1:14" ht="15" customHeight="1">
      <c r="B139" s="154" t="s">
        <v>1522</v>
      </c>
      <c r="C139" s="154" t="s">
        <v>1356</v>
      </c>
      <c r="D139" s="154" t="s">
        <v>1318</v>
      </c>
      <c r="E139" s="194" t="s">
        <v>1357</v>
      </c>
      <c r="F139" s="154" t="s">
        <v>1159</v>
      </c>
      <c r="G139" s="154">
        <v>1</v>
      </c>
      <c r="H139" s="162">
        <v>200</v>
      </c>
      <c r="I139" s="213">
        <f>H139*G139</f>
        <v>200</v>
      </c>
      <c r="J139" s="162" t="s">
        <v>1087</v>
      </c>
      <c r="K139" s="154" t="s">
        <v>1093</v>
      </c>
      <c r="L139" s="162" t="s">
        <v>1160</v>
      </c>
      <c r="M139" s="162" t="s">
        <v>1063</v>
      </c>
      <c r="N139" s="216">
        <f>VLOOKUP(M139,'FC - outros'!$B$2:$C$21,2,0)</f>
        <v>44713</v>
      </c>
    </row>
    <row r="140" spans="1:14" ht="15" customHeight="1">
      <c r="B140" s="154" t="s">
        <v>1522</v>
      </c>
      <c r="C140" s="154" t="s">
        <v>1358</v>
      </c>
      <c r="D140" s="154" t="s">
        <v>1318</v>
      </c>
      <c r="E140" s="194" t="s">
        <v>1359</v>
      </c>
      <c r="F140" s="154" t="s">
        <v>1159</v>
      </c>
      <c r="G140" s="154">
        <v>1</v>
      </c>
      <c r="H140" s="162">
        <v>200</v>
      </c>
      <c r="I140" s="213">
        <f>H140*G140</f>
        <v>200</v>
      </c>
      <c r="J140" s="162" t="s">
        <v>1087</v>
      </c>
      <c r="K140" s="154" t="s">
        <v>1093</v>
      </c>
      <c r="L140" s="162" t="s">
        <v>1160</v>
      </c>
      <c r="M140" s="162" t="s">
        <v>1063</v>
      </c>
      <c r="N140" s="216">
        <f>VLOOKUP(M140,'FC - outros'!$B$2:$C$21,2,0)</f>
        <v>44713</v>
      </c>
    </row>
    <row r="141" spans="1:14" ht="15" customHeight="1">
      <c r="A141" s="159" t="s">
        <v>1518</v>
      </c>
      <c r="B141" s="159" t="s">
        <v>1522</v>
      </c>
      <c r="C141" s="159">
        <v>6</v>
      </c>
      <c r="D141" s="159" t="s">
        <v>1360</v>
      </c>
      <c r="E141" s="195" t="s">
        <v>1360</v>
      </c>
      <c r="F141" s="159"/>
      <c r="G141" s="159"/>
      <c r="H141" s="163"/>
      <c r="I141" s="212">
        <f>I142+I147+I151+I155+I161</f>
        <v>93300</v>
      </c>
      <c r="J141" s="161"/>
      <c r="K141" s="161"/>
      <c r="L141" s="161"/>
      <c r="M141" s="161"/>
      <c r="N141" s="215"/>
    </row>
    <row r="142" spans="1:14" ht="15" customHeight="1">
      <c r="A142" s="159"/>
      <c r="B142" s="159"/>
      <c r="C142" s="159" t="s">
        <v>1361</v>
      </c>
      <c r="D142" s="159" t="s">
        <v>1360</v>
      </c>
      <c r="E142" s="195" t="s">
        <v>1362</v>
      </c>
      <c r="F142" s="159"/>
      <c r="G142" s="159"/>
      <c r="H142" s="163"/>
      <c r="I142" s="212">
        <f>SUM(I143:I146)</f>
        <v>15400</v>
      </c>
      <c r="J142" s="161"/>
      <c r="K142" s="161"/>
      <c r="L142" s="161"/>
      <c r="M142" s="161"/>
      <c r="N142" s="215"/>
    </row>
    <row r="143" spans="1:14" ht="15" customHeight="1">
      <c r="B143" s="154" t="s">
        <v>1522</v>
      </c>
      <c r="C143" s="154" t="s">
        <v>1363</v>
      </c>
      <c r="D143" s="154" t="s">
        <v>1360</v>
      </c>
      <c r="E143" s="194" t="s">
        <v>1364</v>
      </c>
      <c r="F143" s="154" t="s">
        <v>1076</v>
      </c>
      <c r="G143" s="154">
        <v>11</v>
      </c>
      <c r="H143" s="162">
        <v>350</v>
      </c>
      <c r="I143" s="213">
        <f>H143*G143</f>
        <v>3850</v>
      </c>
      <c r="J143" s="154" t="s">
        <v>1077</v>
      </c>
      <c r="K143" s="154" t="s">
        <v>1526</v>
      </c>
      <c r="L143" s="154" t="s">
        <v>1067</v>
      </c>
      <c r="M143" s="154" t="s">
        <v>1189</v>
      </c>
      <c r="N143" s="216" t="s">
        <v>1189</v>
      </c>
    </row>
    <row r="144" spans="1:14" ht="15" customHeight="1">
      <c r="B144" s="154" t="s">
        <v>1522</v>
      </c>
      <c r="C144" s="154" t="s">
        <v>1365</v>
      </c>
      <c r="D144" s="154" t="s">
        <v>1360</v>
      </c>
      <c r="E144" s="194" t="s">
        <v>1366</v>
      </c>
      <c r="F144" s="154" t="s">
        <v>1076</v>
      </c>
      <c r="G144" s="154">
        <v>11</v>
      </c>
      <c r="H144" s="162">
        <v>350</v>
      </c>
      <c r="I144" s="213">
        <f>H144*G144</f>
        <v>3850</v>
      </c>
      <c r="J144" s="154" t="s">
        <v>1077</v>
      </c>
      <c r="K144" s="154" t="s">
        <v>1526</v>
      </c>
      <c r="L144" s="154" t="s">
        <v>1067</v>
      </c>
      <c r="M144" s="154" t="s">
        <v>1189</v>
      </c>
      <c r="N144" s="216" t="s">
        <v>1189</v>
      </c>
    </row>
    <row r="145" spans="1:14" ht="15" customHeight="1">
      <c r="B145" s="154" t="s">
        <v>1522</v>
      </c>
      <c r="C145" s="154" t="s">
        <v>1367</v>
      </c>
      <c r="D145" s="154" t="s">
        <v>1360</v>
      </c>
      <c r="E145" s="194" t="s">
        <v>1368</v>
      </c>
      <c r="F145" s="154" t="s">
        <v>1076</v>
      </c>
      <c r="G145" s="154">
        <v>11</v>
      </c>
      <c r="H145" s="162">
        <v>350</v>
      </c>
      <c r="I145" s="213">
        <f>H145*G145</f>
        <v>3850</v>
      </c>
      <c r="J145" s="154" t="s">
        <v>1077</v>
      </c>
      <c r="K145" s="154" t="s">
        <v>1526</v>
      </c>
      <c r="L145" s="154" t="s">
        <v>1067</v>
      </c>
      <c r="M145" s="154" t="s">
        <v>1189</v>
      </c>
      <c r="N145" s="216" t="s">
        <v>1189</v>
      </c>
    </row>
    <row r="146" spans="1:14" ht="15" customHeight="1">
      <c r="B146" s="154" t="s">
        <v>1522</v>
      </c>
      <c r="C146" s="154" t="s">
        <v>1369</v>
      </c>
      <c r="D146" s="154" t="s">
        <v>1360</v>
      </c>
      <c r="E146" s="194" t="s">
        <v>1370</v>
      </c>
      <c r="F146" s="154" t="s">
        <v>1076</v>
      </c>
      <c r="G146" s="154">
        <v>11</v>
      </c>
      <c r="H146" s="162">
        <v>350</v>
      </c>
      <c r="I146" s="213">
        <f>H146*G146</f>
        <v>3850</v>
      </c>
      <c r="J146" s="154" t="s">
        <v>1077</v>
      </c>
      <c r="K146" s="154" t="s">
        <v>1526</v>
      </c>
      <c r="L146" s="154" t="s">
        <v>1067</v>
      </c>
      <c r="M146" s="154" t="s">
        <v>1189</v>
      </c>
      <c r="N146" s="216" t="s">
        <v>1189</v>
      </c>
    </row>
    <row r="147" spans="1:14" ht="15" customHeight="1">
      <c r="A147" s="159"/>
      <c r="B147" s="159"/>
      <c r="C147" s="159" t="s">
        <v>1371</v>
      </c>
      <c r="D147" s="159" t="s">
        <v>1360</v>
      </c>
      <c r="E147" s="195" t="s">
        <v>1372</v>
      </c>
      <c r="F147" s="159"/>
      <c r="G147" s="159"/>
      <c r="H147" s="163"/>
      <c r="I147" s="212">
        <f>SUM(I148:I150)</f>
        <v>2100</v>
      </c>
      <c r="J147" s="161"/>
      <c r="K147" s="161"/>
      <c r="L147" s="161"/>
      <c r="M147" s="161"/>
      <c r="N147" s="215"/>
    </row>
    <row r="148" spans="1:14" ht="15" customHeight="1">
      <c r="B148" s="154" t="s">
        <v>1522</v>
      </c>
      <c r="C148" s="154" t="s">
        <v>1373</v>
      </c>
      <c r="D148" s="154" t="s">
        <v>1360</v>
      </c>
      <c r="E148" s="194" t="s">
        <v>1374</v>
      </c>
      <c r="F148" s="154" t="s">
        <v>1076</v>
      </c>
      <c r="G148" s="154">
        <v>11</v>
      </c>
      <c r="H148" s="162">
        <v>50</v>
      </c>
      <c r="I148" s="213">
        <f>H148*G148</f>
        <v>550</v>
      </c>
      <c r="J148" s="154" t="s">
        <v>1077</v>
      </c>
      <c r="K148" s="154" t="s">
        <v>1526</v>
      </c>
      <c r="L148" s="154" t="s">
        <v>1067</v>
      </c>
      <c r="M148" s="154" t="s">
        <v>1189</v>
      </c>
      <c r="N148" s="216" t="s">
        <v>1189</v>
      </c>
    </row>
    <row r="149" spans="1:14" ht="15" customHeight="1">
      <c r="B149" s="154" t="s">
        <v>1522</v>
      </c>
      <c r="C149" s="154" t="s">
        <v>1375</v>
      </c>
      <c r="D149" s="154" t="s">
        <v>1360</v>
      </c>
      <c r="E149" s="194" t="s">
        <v>1376</v>
      </c>
      <c r="F149" s="154" t="s">
        <v>1076</v>
      </c>
      <c r="G149" s="154">
        <v>11</v>
      </c>
      <c r="H149" s="162">
        <v>50</v>
      </c>
      <c r="I149" s="213">
        <f>H149*G149</f>
        <v>550</v>
      </c>
      <c r="J149" s="154" t="s">
        <v>1077</v>
      </c>
      <c r="K149" s="154" t="s">
        <v>1526</v>
      </c>
      <c r="L149" s="154" t="s">
        <v>1067</v>
      </c>
      <c r="M149" s="154" t="s">
        <v>1189</v>
      </c>
      <c r="N149" s="216" t="s">
        <v>1189</v>
      </c>
    </row>
    <row r="150" spans="1:14" ht="15" customHeight="1">
      <c r="B150" s="154" t="s">
        <v>1522</v>
      </c>
      <c r="C150" s="154" t="s">
        <v>1377</v>
      </c>
      <c r="D150" s="154" t="s">
        <v>1360</v>
      </c>
      <c r="E150" s="194" t="s">
        <v>1378</v>
      </c>
      <c r="F150" s="154" t="s">
        <v>1159</v>
      </c>
      <c r="G150" s="154">
        <v>1</v>
      </c>
      <c r="H150" s="162">
        <v>1000</v>
      </c>
      <c r="I150" s="213">
        <f>H150*G150</f>
        <v>1000</v>
      </c>
      <c r="J150" s="162" t="s">
        <v>1087</v>
      </c>
      <c r="K150" s="162" t="s">
        <v>1088</v>
      </c>
      <c r="L150" s="162" t="s">
        <v>1160</v>
      </c>
      <c r="M150" s="162" t="s">
        <v>1323</v>
      </c>
      <c r="N150" s="216">
        <f>VLOOKUP(M150,'FC - outros'!$B$2:$C$21,2,0)</f>
        <v>44408</v>
      </c>
    </row>
    <row r="151" spans="1:14" ht="15" customHeight="1">
      <c r="A151" s="159"/>
      <c r="B151" s="159"/>
      <c r="C151" s="159" t="s">
        <v>1379</v>
      </c>
      <c r="D151" s="159" t="s">
        <v>1360</v>
      </c>
      <c r="E151" s="195" t="s">
        <v>1380</v>
      </c>
      <c r="F151" s="159"/>
      <c r="G151" s="159"/>
      <c r="H151" s="163"/>
      <c r="I151" s="212">
        <f>SUM(I152:I154)</f>
        <v>4500</v>
      </c>
      <c r="J151" s="161"/>
      <c r="K151" s="161"/>
      <c r="L151" s="161"/>
      <c r="M151" s="161"/>
      <c r="N151" s="215"/>
    </row>
    <row r="152" spans="1:14" ht="15" customHeight="1">
      <c r="B152" s="154" t="s">
        <v>1522</v>
      </c>
      <c r="C152" s="154" t="s">
        <v>1381</v>
      </c>
      <c r="D152" s="154" t="s">
        <v>1360</v>
      </c>
      <c r="E152" s="194" t="s">
        <v>1382</v>
      </c>
      <c r="F152" s="154" t="s">
        <v>1159</v>
      </c>
      <c r="G152" s="154">
        <v>1</v>
      </c>
      <c r="H152" s="162">
        <v>1500</v>
      </c>
      <c r="I152" s="213">
        <f>H152*G152</f>
        <v>1500</v>
      </c>
      <c r="J152" s="162" t="s">
        <v>1087</v>
      </c>
      <c r="K152" s="162" t="s">
        <v>1088</v>
      </c>
      <c r="L152" s="162" t="s">
        <v>1160</v>
      </c>
      <c r="M152" s="162" t="s">
        <v>1323</v>
      </c>
      <c r="N152" s="216">
        <f>VLOOKUP(M152,'FC - outros'!$B$2:$C$21,2,0)</f>
        <v>44408</v>
      </c>
    </row>
    <row r="153" spans="1:14" ht="15" customHeight="1">
      <c r="B153" s="154" t="s">
        <v>1522</v>
      </c>
      <c r="C153" s="154" t="s">
        <v>1383</v>
      </c>
      <c r="D153" s="154" t="s">
        <v>1360</v>
      </c>
      <c r="E153" s="194" t="s">
        <v>1384</v>
      </c>
      <c r="F153" s="154" t="s">
        <v>1159</v>
      </c>
      <c r="G153" s="154">
        <v>1</v>
      </c>
      <c r="H153" s="162">
        <v>1500</v>
      </c>
      <c r="I153" s="213">
        <f>H153*G153</f>
        <v>1500</v>
      </c>
      <c r="J153" s="162" t="s">
        <v>1087</v>
      </c>
      <c r="K153" s="162" t="s">
        <v>1088</v>
      </c>
      <c r="L153" s="162" t="s">
        <v>1160</v>
      </c>
      <c r="M153" s="162" t="s">
        <v>1323</v>
      </c>
      <c r="N153" s="216">
        <f>VLOOKUP(M153,'FC - outros'!$B$2:$C$21,2,0)</f>
        <v>44408</v>
      </c>
    </row>
    <row r="154" spans="1:14" ht="15" customHeight="1">
      <c r="B154" s="154" t="s">
        <v>1522</v>
      </c>
      <c r="C154" s="154" t="s">
        <v>1385</v>
      </c>
      <c r="D154" s="154" t="s">
        <v>1360</v>
      </c>
      <c r="E154" s="194" t="s">
        <v>1386</v>
      </c>
      <c r="F154" s="154" t="s">
        <v>1159</v>
      </c>
      <c r="G154" s="154">
        <v>1</v>
      </c>
      <c r="H154" s="162">
        <v>1500</v>
      </c>
      <c r="I154" s="213">
        <f>H154*G154</f>
        <v>1500</v>
      </c>
      <c r="J154" s="162" t="s">
        <v>1087</v>
      </c>
      <c r="K154" s="162" t="s">
        <v>1088</v>
      </c>
      <c r="L154" s="162" t="s">
        <v>1160</v>
      </c>
      <c r="M154" s="162" t="s">
        <v>1323</v>
      </c>
      <c r="N154" s="216">
        <f>VLOOKUP(M154,'FC - outros'!$B$2:$C$21,2,0)</f>
        <v>44408</v>
      </c>
    </row>
    <row r="155" spans="1:14" ht="15" customHeight="1">
      <c r="A155" s="159"/>
      <c r="B155" s="159"/>
      <c r="C155" s="159" t="s">
        <v>1387</v>
      </c>
      <c r="D155" s="159" t="s">
        <v>1360</v>
      </c>
      <c r="E155" s="195" t="s">
        <v>1388</v>
      </c>
      <c r="F155" s="159"/>
      <c r="G155" s="159"/>
      <c r="H155" s="163"/>
      <c r="I155" s="212">
        <f>SUM(I156:I160)</f>
        <v>7500</v>
      </c>
      <c r="J155" s="161"/>
      <c r="K155" s="161"/>
      <c r="L155" s="161"/>
      <c r="M155" s="161"/>
      <c r="N155" s="215"/>
    </row>
    <row r="156" spans="1:14" ht="15" customHeight="1">
      <c r="B156" s="154" t="s">
        <v>1522</v>
      </c>
      <c r="C156" s="154" t="s">
        <v>1389</v>
      </c>
      <c r="D156" s="154" t="s">
        <v>1360</v>
      </c>
      <c r="E156" s="194" t="s">
        <v>1390</v>
      </c>
      <c r="F156" s="154" t="s">
        <v>1159</v>
      </c>
      <c r="G156" s="154">
        <v>1</v>
      </c>
      <c r="H156" s="162">
        <v>1500</v>
      </c>
      <c r="I156" s="213">
        <f>H156*G156</f>
        <v>1500</v>
      </c>
      <c r="J156" s="162" t="s">
        <v>1087</v>
      </c>
      <c r="K156" s="162" t="s">
        <v>1088</v>
      </c>
      <c r="L156" s="162" t="s">
        <v>1160</v>
      </c>
      <c r="M156" s="162" t="s">
        <v>1323</v>
      </c>
      <c r="N156" s="216">
        <f>VLOOKUP(M156,'FC - outros'!$B$2:$C$21,2,0)</f>
        <v>44408</v>
      </c>
    </row>
    <row r="157" spans="1:14" ht="15" customHeight="1">
      <c r="B157" s="154" t="s">
        <v>1522</v>
      </c>
      <c r="C157" s="154" t="s">
        <v>1391</v>
      </c>
      <c r="D157" s="154" t="s">
        <v>1360</v>
      </c>
      <c r="E157" s="194" t="s">
        <v>1392</v>
      </c>
      <c r="F157" s="154" t="s">
        <v>1159</v>
      </c>
      <c r="G157" s="154">
        <v>1</v>
      </c>
      <c r="H157" s="162">
        <v>1500</v>
      </c>
      <c r="I157" s="213">
        <f>H157*G157</f>
        <v>1500</v>
      </c>
      <c r="J157" s="162" t="s">
        <v>1087</v>
      </c>
      <c r="K157" s="162" t="s">
        <v>1088</v>
      </c>
      <c r="L157" s="162" t="s">
        <v>1160</v>
      </c>
      <c r="M157" s="162" t="s">
        <v>1323</v>
      </c>
      <c r="N157" s="216">
        <f>VLOOKUP(M157,'FC - outros'!$B$2:$C$21,2,0)</f>
        <v>44408</v>
      </c>
    </row>
    <row r="158" spans="1:14" ht="15" customHeight="1">
      <c r="B158" s="154" t="s">
        <v>1522</v>
      </c>
      <c r="C158" s="154" t="s">
        <v>1393</v>
      </c>
      <c r="D158" s="154" t="s">
        <v>1360</v>
      </c>
      <c r="E158" s="194" t="s">
        <v>1394</v>
      </c>
      <c r="F158" s="154" t="s">
        <v>1159</v>
      </c>
      <c r="G158" s="154">
        <v>1</v>
      </c>
      <c r="H158" s="162">
        <v>1500</v>
      </c>
      <c r="I158" s="213">
        <f>H158*G158</f>
        <v>1500</v>
      </c>
      <c r="J158" s="162" t="s">
        <v>1087</v>
      </c>
      <c r="K158" s="162" t="s">
        <v>1088</v>
      </c>
      <c r="L158" s="162" t="s">
        <v>1160</v>
      </c>
      <c r="M158" s="162" t="s">
        <v>1323</v>
      </c>
      <c r="N158" s="216">
        <f>VLOOKUP(M158,'FC - outros'!$B$2:$C$21,2,0)</f>
        <v>44408</v>
      </c>
    </row>
    <row r="159" spans="1:14" ht="15" customHeight="1">
      <c r="B159" s="154" t="s">
        <v>1522</v>
      </c>
      <c r="C159" s="154" t="s">
        <v>1395</v>
      </c>
      <c r="D159" s="154" t="s">
        <v>1360</v>
      </c>
      <c r="E159" s="194" t="s">
        <v>1396</v>
      </c>
      <c r="F159" s="154" t="s">
        <v>1159</v>
      </c>
      <c r="G159" s="154">
        <v>1</v>
      </c>
      <c r="H159" s="162">
        <v>1500</v>
      </c>
      <c r="I159" s="213">
        <f>H159*G159</f>
        <v>1500</v>
      </c>
      <c r="J159" s="162" t="s">
        <v>1087</v>
      </c>
      <c r="K159" s="154" t="s">
        <v>1093</v>
      </c>
      <c r="L159" s="162" t="s">
        <v>1160</v>
      </c>
      <c r="M159" s="162" t="s">
        <v>1063</v>
      </c>
      <c r="N159" s="216">
        <f>VLOOKUP(M159,'FC - outros'!$B$2:$C$21,2,0)</f>
        <v>44713</v>
      </c>
    </row>
    <row r="160" spans="1:14" ht="15" customHeight="1">
      <c r="B160" s="154" t="s">
        <v>1522</v>
      </c>
      <c r="C160" s="154" t="s">
        <v>1397</v>
      </c>
      <c r="D160" s="154" t="s">
        <v>1360</v>
      </c>
      <c r="E160" s="194" t="s">
        <v>1398</v>
      </c>
      <c r="F160" s="154" t="s">
        <v>1159</v>
      </c>
      <c r="G160" s="154">
        <v>1</v>
      </c>
      <c r="H160" s="162">
        <v>1500</v>
      </c>
      <c r="I160" s="213">
        <f>H160*G160</f>
        <v>1500</v>
      </c>
      <c r="J160" s="162" t="s">
        <v>1087</v>
      </c>
      <c r="K160" s="154" t="s">
        <v>1093</v>
      </c>
      <c r="L160" s="162" t="s">
        <v>1160</v>
      </c>
      <c r="M160" s="162" t="s">
        <v>1063</v>
      </c>
      <c r="N160" s="216">
        <f>VLOOKUP(M160,'FC - outros'!$B$2:$C$21,2,0)</f>
        <v>44713</v>
      </c>
    </row>
    <row r="161" spans="1:14" ht="15" customHeight="1">
      <c r="A161" s="159"/>
      <c r="B161" s="159"/>
      <c r="C161" s="159" t="s">
        <v>1399</v>
      </c>
      <c r="D161" s="159" t="s">
        <v>1360</v>
      </c>
      <c r="E161" s="195" t="s">
        <v>1400</v>
      </c>
      <c r="F161" s="159"/>
      <c r="G161" s="159"/>
      <c r="H161" s="163"/>
      <c r="I161" s="212">
        <f>SUM(I162:I164)</f>
        <v>63800</v>
      </c>
      <c r="J161" s="161"/>
      <c r="K161" s="161"/>
      <c r="L161" s="161"/>
      <c r="M161" s="161"/>
      <c r="N161" s="215"/>
    </row>
    <row r="162" spans="1:14" ht="15" customHeight="1">
      <c r="B162" s="154" t="s">
        <v>1522</v>
      </c>
      <c r="C162" s="154" t="s">
        <v>1401</v>
      </c>
      <c r="D162" s="154" t="s">
        <v>1360</v>
      </c>
      <c r="E162" s="194" t="s">
        <v>1402</v>
      </c>
      <c r="F162" s="154" t="s">
        <v>1076</v>
      </c>
      <c r="G162" s="154">
        <v>11</v>
      </c>
      <c r="H162" s="162">
        <v>5000</v>
      </c>
      <c r="I162" s="213">
        <f>H162*G162</f>
        <v>55000</v>
      </c>
      <c r="J162" s="154" t="s">
        <v>1077</v>
      </c>
      <c r="K162" s="154" t="s">
        <v>1526</v>
      </c>
      <c r="L162" s="154" t="s">
        <v>1067</v>
      </c>
      <c r="M162" s="154" t="s">
        <v>1189</v>
      </c>
      <c r="N162" s="216" t="s">
        <v>1189</v>
      </c>
    </row>
    <row r="163" spans="1:14" ht="15" customHeight="1">
      <c r="B163" s="154" t="s">
        <v>1522</v>
      </c>
      <c r="C163" s="154" t="s">
        <v>1403</v>
      </c>
      <c r="D163" s="154" t="s">
        <v>1360</v>
      </c>
      <c r="E163" s="194" t="s">
        <v>1404</v>
      </c>
      <c r="F163" s="154" t="s">
        <v>1076</v>
      </c>
      <c r="G163" s="154">
        <v>11</v>
      </c>
      <c r="H163" s="162">
        <v>300</v>
      </c>
      <c r="I163" s="213">
        <f>H163*G163</f>
        <v>3300</v>
      </c>
      <c r="J163" s="154" t="s">
        <v>1077</v>
      </c>
      <c r="K163" s="154" t="s">
        <v>1526</v>
      </c>
      <c r="L163" s="154" t="s">
        <v>1067</v>
      </c>
      <c r="M163" s="154" t="s">
        <v>1189</v>
      </c>
      <c r="N163" s="216" t="s">
        <v>1189</v>
      </c>
    </row>
    <row r="164" spans="1:14" ht="15" customHeight="1">
      <c r="B164" s="154" t="s">
        <v>1522</v>
      </c>
      <c r="C164" s="154" t="s">
        <v>1405</v>
      </c>
      <c r="D164" s="154" t="s">
        <v>1360</v>
      </c>
      <c r="E164" s="194" t="s">
        <v>1406</v>
      </c>
      <c r="F164" s="154" t="s">
        <v>1076</v>
      </c>
      <c r="G164" s="154">
        <v>11</v>
      </c>
      <c r="H164" s="162">
        <v>500</v>
      </c>
      <c r="I164" s="213">
        <f>H164*G164</f>
        <v>5500</v>
      </c>
      <c r="J164" s="154" t="s">
        <v>1077</v>
      </c>
      <c r="K164" s="154" t="s">
        <v>1526</v>
      </c>
      <c r="L164" s="154" t="s">
        <v>1067</v>
      </c>
      <c r="M164" s="154" t="s">
        <v>1189</v>
      </c>
      <c r="N164" s="216" t="s">
        <v>1189</v>
      </c>
    </row>
    <row r="165" spans="1:14" ht="15" customHeight="1">
      <c r="A165" s="159" t="s">
        <v>1518</v>
      </c>
      <c r="B165" s="159" t="s">
        <v>1522</v>
      </c>
      <c r="C165" s="159">
        <v>7</v>
      </c>
      <c r="D165" s="159" t="s">
        <v>1407</v>
      </c>
      <c r="E165" s="195" t="s">
        <v>1407</v>
      </c>
      <c r="F165" s="159"/>
      <c r="G165" s="161"/>
      <c r="H165" s="163"/>
      <c r="I165" s="212">
        <f>I166+I168+I170+I174+I178+I184</f>
        <v>529200</v>
      </c>
      <c r="J165" s="160"/>
      <c r="K165" s="160"/>
      <c r="L165" s="160"/>
      <c r="M165" s="160"/>
      <c r="N165" s="215"/>
    </row>
    <row r="166" spans="1:14" ht="15" customHeight="1">
      <c r="A166" s="159"/>
      <c r="B166" s="159"/>
      <c r="C166" s="159" t="s">
        <v>1408</v>
      </c>
      <c r="D166" s="159" t="s">
        <v>1407</v>
      </c>
      <c r="E166" s="195" t="s">
        <v>1409</v>
      </c>
      <c r="F166" s="159"/>
      <c r="G166" s="161"/>
      <c r="H166" s="163"/>
      <c r="I166" s="212">
        <f>I167</f>
        <v>288000</v>
      </c>
      <c r="J166" s="160"/>
      <c r="K166" s="160"/>
      <c r="L166" s="160"/>
      <c r="M166" s="160"/>
      <c r="N166" s="215"/>
    </row>
    <row r="167" spans="1:14" ht="15" customHeight="1">
      <c r="B167" s="154" t="s">
        <v>1522</v>
      </c>
      <c r="C167" s="154" t="s">
        <v>1410</v>
      </c>
      <c r="D167" s="154" t="s">
        <v>1407</v>
      </c>
      <c r="E167" s="194" t="s">
        <v>1411</v>
      </c>
      <c r="F167" s="154" t="s">
        <v>1412</v>
      </c>
      <c r="G167" s="164">
        <v>16</v>
      </c>
      <c r="H167" s="162">
        <f>200000*0.09</f>
        <v>18000</v>
      </c>
      <c r="I167" s="213">
        <f>H167*G167</f>
        <v>288000</v>
      </c>
      <c r="J167" s="154" t="s">
        <v>1077</v>
      </c>
      <c r="K167" s="162" t="s">
        <v>1413</v>
      </c>
      <c r="L167" s="162"/>
      <c r="M167" s="162"/>
      <c r="N167" s="216" t="s">
        <v>1552</v>
      </c>
    </row>
    <row r="168" spans="1:14" ht="15" customHeight="1">
      <c r="A168" s="159"/>
      <c r="B168" s="159"/>
      <c r="C168" s="159" t="s">
        <v>1414</v>
      </c>
      <c r="D168" s="159" t="s">
        <v>1407</v>
      </c>
      <c r="E168" s="195" t="s">
        <v>1415</v>
      </c>
      <c r="F168" s="159"/>
      <c r="G168" s="161"/>
      <c r="H168" s="163"/>
      <c r="I168" s="212">
        <f>I169</f>
        <v>192000</v>
      </c>
      <c r="J168" s="160"/>
      <c r="K168" s="160"/>
      <c r="L168" s="160"/>
      <c r="M168" s="160"/>
      <c r="N168" s="215"/>
    </row>
    <row r="169" spans="1:14" ht="15" customHeight="1">
      <c r="B169" s="154" t="s">
        <v>1522</v>
      </c>
      <c r="C169" s="154" t="s">
        <v>1416</v>
      </c>
      <c r="D169" s="154" t="s">
        <v>1407</v>
      </c>
      <c r="E169" s="194" t="s">
        <v>1417</v>
      </c>
      <c r="F169" s="154" t="s">
        <v>1412</v>
      </c>
      <c r="G169" s="164">
        <v>16</v>
      </c>
      <c r="H169" s="162">
        <f>200000*0.06</f>
        <v>12000</v>
      </c>
      <c r="I169" s="213">
        <f>H169*G169</f>
        <v>192000</v>
      </c>
      <c r="J169" s="154" t="s">
        <v>1077</v>
      </c>
      <c r="K169" s="162" t="s">
        <v>1413</v>
      </c>
      <c r="L169" s="162"/>
      <c r="M169" s="162"/>
      <c r="N169" s="216" t="s">
        <v>1552</v>
      </c>
    </row>
    <row r="170" spans="1:14" ht="15" customHeight="1">
      <c r="A170" s="159"/>
      <c r="B170" s="159"/>
      <c r="C170" s="159" t="s">
        <v>1418</v>
      </c>
      <c r="D170" s="159" t="s">
        <v>1407</v>
      </c>
      <c r="E170" s="195" t="s">
        <v>1419</v>
      </c>
      <c r="F170" s="159"/>
      <c r="G170" s="161"/>
      <c r="H170" s="163"/>
      <c r="I170" s="212">
        <f>SUM(I171:I173)</f>
        <v>16000</v>
      </c>
      <c r="J170" s="160"/>
      <c r="K170" s="160"/>
      <c r="L170" s="160"/>
      <c r="M170" s="160"/>
      <c r="N170" s="215"/>
    </row>
    <row r="171" spans="1:14" ht="15" customHeight="1">
      <c r="B171" s="154" t="s">
        <v>1522</v>
      </c>
      <c r="C171" s="154" t="s">
        <v>1420</v>
      </c>
      <c r="D171" s="154" t="s">
        <v>1407</v>
      </c>
      <c r="E171" s="194" t="s">
        <v>1421</v>
      </c>
      <c r="F171" s="154" t="s">
        <v>1159</v>
      </c>
      <c r="G171" s="164">
        <v>1</v>
      </c>
      <c r="H171" s="162">
        <v>2500</v>
      </c>
      <c r="I171" s="213">
        <f t="shared" ref="I171:I183" si="7">H171*G171</f>
        <v>2500</v>
      </c>
      <c r="J171" s="162" t="s">
        <v>1087</v>
      </c>
      <c r="K171" s="162" t="s">
        <v>1088</v>
      </c>
      <c r="L171" s="162" t="s">
        <v>1160</v>
      </c>
      <c r="M171" s="154" t="s">
        <v>1060</v>
      </c>
      <c r="N171" s="216">
        <f>VLOOKUP(M171,'FC - outros'!$B$2:$C$21,2,0)</f>
        <v>44409</v>
      </c>
    </row>
    <row r="172" spans="1:14" ht="15" customHeight="1">
      <c r="B172" s="154" t="s">
        <v>1522</v>
      </c>
      <c r="C172" s="154" t="s">
        <v>1422</v>
      </c>
      <c r="D172" s="154" t="s">
        <v>1407</v>
      </c>
      <c r="E172" s="194" t="s">
        <v>1423</v>
      </c>
      <c r="F172" s="154" t="s">
        <v>1159</v>
      </c>
      <c r="G172" s="164">
        <v>1</v>
      </c>
      <c r="H172" s="162">
        <v>2500</v>
      </c>
      <c r="I172" s="213">
        <f t="shared" si="7"/>
        <v>2500</v>
      </c>
      <c r="J172" s="162" t="s">
        <v>1087</v>
      </c>
      <c r="K172" s="162" t="s">
        <v>1088</v>
      </c>
      <c r="L172" s="162" t="s">
        <v>1160</v>
      </c>
      <c r="M172" s="154" t="s">
        <v>1060</v>
      </c>
      <c r="N172" s="216">
        <f>VLOOKUP(M172,'FC - outros'!$B$2:$C$21,2,0)</f>
        <v>44409</v>
      </c>
    </row>
    <row r="173" spans="1:14" ht="15" customHeight="1">
      <c r="B173" s="154" t="s">
        <v>1522</v>
      </c>
      <c r="C173" s="154" t="s">
        <v>1424</v>
      </c>
      <c r="D173" s="154" t="s">
        <v>1407</v>
      </c>
      <c r="E173" s="194" t="s">
        <v>1425</v>
      </c>
      <c r="F173" s="154" t="s">
        <v>1076</v>
      </c>
      <c r="G173" s="164">
        <v>11</v>
      </c>
      <c r="H173" s="162">
        <v>1000</v>
      </c>
      <c r="I173" s="213">
        <f t="shared" si="7"/>
        <v>11000</v>
      </c>
      <c r="J173" s="154" t="s">
        <v>1077</v>
      </c>
      <c r="K173" s="154" t="s">
        <v>1526</v>
      </c>
      <c r="L173" s="154" t="s">
        <v>1067</v>
      </c>
      <c r="M173" s="154" t="s">
        <v>1189</v>
      </c>
      <c r="N173" s="216" t="s">
        <v>1189</v>
      </c>
    </row>
    <row r="174" spans="1:14" ht="15" customHeight="1">
      <c r="A174" s="159"/>
      <c r="B174" s="159"/>
      <c r="C174" s="159" t="s">
        <v>1426</v>
      </c>
      <c r="D174" s="159" t="s">
        <v>1407</v>
      </c>
      <c r="E174" s="195" t="s">
        <v>1427</v>
      </c>
      <c r="F174" s="159"/>
      <c r="G174" s="161"/>
      <c r="H174" s="163"/>
      <c r="I174" s="212">
        <f>SUM(I175:I177)</f>
        <v>6600</v>
      </c>
      <c r="J174" s="160"/>
      <c r="K174" s="160"/>
      <c r="L174" s="160"/>
      <c r="M174" s="160"/>
      <c r="N174" s="215"/>
    </row>
    <row r="175" spans="1:14" ht="15" customHeight="1">
      <c r="B175" s="154" t="s">
        <v>1522</v>
      </c>
      <c r="C175" s="154" t="s">
        <v>1428</v>
      </c>
      <c r="D175" s="154" t="s">
        <v>1407</v>
      </c>
      <c r="E175" s="194" t="s">
        <v>1429</v>
      </c>
      <c r="F175" s="154" t="s">
        <v>1076</v>
      </c>
      <c r="G175" s="164">
        <v>11</v>
      </c>
      <c r="H175" s="162">
        <v>200</v>
      </c>
      <c r="I175" s="213">
        <f t="shared" si="7"/>
        <v>2200</v>
      </c>
      <c r="J175" s="154" t="s">
        <v>1077</v>
      </c>
      <c r="K175" s="154" t="s">
        <v>1526</v>
      </c>
      <c r="L175" s="154" t="s">
        <v>1067</v>
      </c>
      <c r="M175" s="154" t="s">
        <v>1189</v>
      </c>
      <c r="N175" s="216" t="s">
        <v>1189</v>
      </c>
    </row>
    <row r="176" spans="1:14" ht="15" customHeight="1">
      <c r="B176" s="154" t="s">
        <v>1522</v>
      </c>
      <c r="C176" s="154" t="s">
        <v>1430</v>
      </c>
      <c r="D176" s="154" t="s">
        <v>1407</v>
      </c>
      <c r="E176" s="194" t="s">
        <v>1431</v>
      </c>
      <c r="F176" s="154" t="s">
        <v>1076</v>
      </c>
      <c r="G176" s="164">
        <v>11</v>
      </c>
      <c r="H176" s="162">
        <v>200</v>
      </c>
      <c r="I176" s="213">
        <f t="shared" si="7"/>
        <v>2200</v>
      </c>
      <c r="J176" s="154" t="s">
        <v>1077</v>
      </c>
      <c r="K176" s="154" t="s">
        <v>1526</v>
      </c>
      <c r="L176" s="154" t="s">
        <v>1067</v>
      </c>
      <c r="M176" s="154" t="s">
        <v>1189</v>
      </c>
      <c r="N176" s="216" t="s">
        <v>1189</v>
      </c>
    </row>
    <row r="177" spans="1:14" ht="15" customHeight="1">
      <c r="B177" s="154" t="s">
        <v>1522</v>
      </c>
      <c r="C177" s="154" t="s">
        <v>1432</v>
      </c>
      <c r="D177" s="154" t="s">
        <v>1407</v>
      </c>
      <c r="E177" s="194" t="s">
        <v>1433</v>
      </c>
      <c r="F177" s="154" t="s">
        <v>1076</v>
      </c>
      <c r="G177" s="164">
        <v>11</v>
      </c>
      <c r="H177" s="162">
        <v>200</v>
      </c>
      <c r="I177" s="213">
        <f t="shared" si="7"/>
        <v>2200</v>
      </c>
      <c r="J177" s="154" t="s">
        <v>1077</v>
      </c>
      <c r="K177" s="154" t="s">
        <v>1526</v>
      </c>
      <c r="L177" s="154" t="s">
        <v>1067</v>
      </c>
      <c r="M177" s="154" t="s">
        <v>1189</v>
      </c>
      <c r="N177" s="216" t="s">
        <v>1189</v>
      </c>
    </row>
    <row r="178" spans="1:14" ht="15" customHeight="1">
      <c r="A178" s="159"/>
      <c r="B178" s="159"/>
      <c r="C178" s="159" t="s">
        <v>1434</v>
      </c>
      <c r="D178" s="159" t="s">
        <v>1407</v>
      </c>
      <c r="E178" s="195" t="s">
        <v>1435</v>
      </c>
      <c r="F178" s="159"/>
      <c r="G178" s="161"/>
      <c r="H178" s="163"/>
      <c r="I178" s="212">
        <f>SUM(I179:I183)</f>
        <v>7400</v>
      </c>
      <c r="J178" s="160"/>
      <c r="K178" s="160"/>
      <c r="L178" s="160"/>
      <c r="M178" s="160"/>
      <c r="N178" s="215"/>
    </row>
    <row r="179" spans="1:14" ht="15" customHeight="1">
      <c r="B179" s="154" t="s">
        <v>1522</v>
      </c>
      <c r="C179" s="154" t="s">
        <v>1436</v>
      </c>
      <c r="D179" s="154" t="s">
        <v>1407</v>
      </c>
      <c r="E179" s="194" t="s">
        <v>1437</v>
      </c>
      <c r="F179" s="154" t="s">
        <v>1159</v>
      </c>
      <c r="G179" s="164">
        <v>1</v>
      </c>
      <c r="H179" s="162">
        <v>2500</v>
      </c>
      <c r="I179" s="213">
        <f t="shared" si="7"/>
        <v>2500</v>
      </c>
      <c r="J179" s="162" t="s">
        <v>1087</v>
      </c>
      <c r="K179" s="154" t="s">
        <v>1093</v>
      </c>
      <c r="L179" s="162" t="s">
        <v>1160</v>
      </c>
      <c r="M179" s="162" t="s">
        <v>1062</v>
      </c>
      <c r="N179" s="216">
        <f>VLOOKUP(M179,'FC - outros'!$B$2:$C$21,2,0)</f>
        <v>44743</v>
      </c>
    </row>
    <row r="180" spans="1:14" ht="15" customHeight="1">
      <c r="B180" s="154" t="s">
        <v>1522</v>
      </c>
      <c r="C180" s="154" t="s">
        <v>1438</v>
      </c>
      <c r="D180" s="154" t="s">
        <v>1407</v>
      </c>
      <c r="E180" s="194" t="s">
        <v>1439</v>
      </c>
      <c r="F180" s="154" t="s">
        <v>1159</v>
      </c>
      <c r="G180" s="164">
        <v>1</v>
      </c>
      <c r="H180" s="162">
        <v>2500</v>
      </c>
      <c r="I180" s="213">
        <f t="shared" si="7"/>
        <v>2500</v>
      </c>
      <c r="J180" s="162" t="s">
        <v>1087</v>
      </c>
      <c r="K180" s="154" t="s">
        <v>1093</v>
      </c>
      <c r="L180" s="162" t="s">
        <v>1160</v>
      </c>
      <c r="M180" s="162" t="s">
        <v>1062</v>
      </c>
      <c r="N180" s="216">
        <f>VLOOKUP(M180,'FC - outros'!$B$2:$C$21,2,0)</f>
        <v>44743</v>
      </c>
    </row>
    <row r="181" spans="1:14" ht="15" customHeight="1">
      <c r="B181" s="154" t="s">
        <v>1522</v>
      </c>
      <c r="C181" s="154" t="s">
        <v>1440</v>
      </c>
      <c r="D181" s="154" t="s">
        <v>1407</v>
      </c>
      <c r="E181" s="194" t="s">
        <v>1441</v>
      </c>
      <c r="F181" s="154" t="s">
        <v>1412</v>
      </c>
      <c r="G181" s="164">
        <v>16</v>
      </c>
      <c r="H181" s="162">
        <v>50</v>
      </c>
      <c r="I181" s="213">
        <f t="shared" si="7"/>
        <v>800</v>
      </c>
      <c r="J181" s="162" t="s">
        <v>1087</v>
      </c>
      <c r="K181" s="154" t="s">
        <v>1093</v>
      </c>
      <c r="L181" s="162" t="s">
        <v>1160</v>
      </c>
      <c r="M181" s="162" t="s">
        <v>1062</v>
      </c>
      <c r="N181" s="216">
        <f>VLOOKUP(M181,'FC - outros'!$B$2:$C$21,2,0)</f>
        <v>44743</v>
      </c>
    </row>
    <row r="182" spans="1:14" ht="15" customHeight="1">
      <c r="B182" s="154" t="s">
        <v>1522</v>
      </c>
      <c r="C182" s="154" t="s">
        <v>1442</v>
      </c>
      <c r="D182" s="154" t="s">
        <v>1407</v>
      </c>
      <c r="E182" s="194" t="s">
        <v>1443</v>
      </c>
      <c r="F182" s="154" t="s">
        <v>1412</v>
      </c>
      <c r="G182" s="164">
        <v>16</v>
      </c>
      <c r="H182" s="162">
        <v>50</v>
      </c>
      <c r="I182" s="213">
        <f t="shared" si="7"/>
        <v>800</v>
      </c>
      <c r="J182" s="162" t="s">
        <v>1087</v>
      </c>
      <c r="K182" s="154" t="s">
        <v>1093</v>
      </c>
      <c r="L182" s="162" t="s">
        <v>1160</v>
      </c>
      <c r="M182" s="162" t="s">
        <v>1062</v>
      </c>
      <c r="N182" s="216">
        <f>VLOOKUP(M182,'FC - outros'!$B$2:$C$21,2,0)</f>
        <v>44743</v>
      </c>
    </row>
    <row r="183" spans="1:14" ht="15" customHeight="1">
      <c r="B183" s="154" t="s">
        <v>1522</v>
      </c>
      <c r="C183" s="154" t="s">
        <v>1444</v>
      </c>
      <c r="D183" s="154" t="s">
        <v>1407</v>
      </c>
      <c r="E183" s="194" t="s">
        <v>1445</v>
      </c>
      <c r="F183" s="154" t="s">
        <v>1412</v>
      </c>
      <c r="G183" s="164">
        <v>16</v>
      </c>
      <c r="H183" s="162">
        <v>50</v>
      </c>
      <c r="I183" s="213">
        <f t="shared" si="7"/>
        <v>800</v>
      </c>
      <c r="J183" s="162" t="s">
        <v>1087</v>
      </c>
      <c r="K183" s="154" t="s">
        <v>1093</v>
      </c>
      <c r="L183" s="162" t="s">
        <v>1160</v>
      </c>
      <c r="M183" s="162" t="s">
        <v>1062</v>
      </c>
      <c r="N183" s="216">
        <f>VLOOKUP(M183,'FC - outros'!$B$2:$C$21,2,0)</f>
        <v>44743</v>
      </c>
    </row>
    <row r="184" spans="1:14" ht="15" customHeight="1">
      <c r="A184" s="159"/>
      <c r="B184" s="159"/>
      <c r="C184" s="159" t="s">
        <v>1446</v>
      </c>
      <c r="D184" s="159" t="s">
        <v>1407</v>
      </c>
      <c r="E184" s="195" t="s">
        <v>1447</v>
      </c>
      <c r="F184" s="159"/>
      <c r="G184" s="161"/>
      <c r="H184" s="163"/>
      <c r="I184" s="212">
        <f>SUM(I185:I186)</f>
        <v>19200</v>
      </c>
      <c r="J184" s="160"/>
      <c r="K184" s="160"/>
      <c r="L184" s="160"/>
      <c r="M184" s="160"/>
      <c r="N184" s="215"/>
    </row>
    <row r="185" spans="1:14" ht="15" customHeight="1">
      <c r="B185" s="154" t="s">
        <v>1522</v>
      </c>
      <c r="C185" s="154" t="s">
        <v>1448</v>
      </c>
      <c r="D185" s="154" t="s">
        <v>1407</v>
      </c>
      <c r="E185" s="194" t="s">
        <v>1449</v>
      </c>
      <c r="F185" s="154" t="s">
        <v>1412</v>
      </c>
      <c r="G185" s="164">
        <v>16</v>
      </c>
      <c r="H185" s="162">
        <v>600</v>
      </c>
      <c r="I185" s="213">
        <f t="shared" ref="I185:I186" si="8">H185*G185</f>
        <v>9600</v>
      </c>
      <c r="J185" s="154" t="s">
        <v>1077</v>
      </c>
      <c r="K185" s="162" t="s">
        <v>1413</v>
      </c>
      <c r="L185" s="162"/>
      <c r="M185" s="162"/>
      <c r="N185" s="216" t="s">
        <v>1552</v>
      </c>
    </row>
    <row r="186" spans="1:14" ht="15" customHeight="1">
      <c r="B186" s="154" t="s">
        <v>1522</v>
      </c>
      <c r="C186" s="154" t="s">
        <v>1450</v>
      </c>
      <c r="D186" s="154" t="s">
        <v>1407</v>
      </c>
      <c r="E186" s="194" t="s">
        <v>1451</v>
      </c>
      <c r="F186" s="154" t="s">
        <v>1412</v>
      </c>
      <c r="G186" s="164">
        <v>16</v>
      </c>
      <c r="H186" s="162">
        <v>600</v>
      </c>
      <c r="I186" s="213">
        <f t="shared" si="8"/>
        <v>9600</v>
      </c>
      <c r="J186" s="154" t="s">
        <v>1077</v>
      </c>
      <c r="K186" s="162" t="s">
        <v>1413</v>
      </c>
      <c r="L186" s="162"/>
      <c r="M186" s="162"/>
      <c r="N186" s="216" t="s">
        <v>1552</v>
      </c>
    </row>
    <row r="187" spans="1:14" ht="15" customHeight="1">
      <c r="A187" s="159" t="s">
        <v>1518</v>
      </c>
      <c r="B187" s="159" t="s">
        <v>1522</v>
      </c>
      <c r="C187" s="159">
        <v>8</v>
      </c>
      <c r="D187" s="159" t="s">
        <v>1452</v>
      </c>
      <c r="E187" s="195" t="s">
        <v>1452</v>
      </c>
      <c r="F187" s="159"/>
      <c r="G187" s="161"/>
      <c r="H187" s="163"/>
      <c r="I187" s="212">
        <f>I189</f>
        <v>100000</v>
      </c>
      <c r="J187" s="160"/>
      <c r="K187" s="160"/>
      <c r="L187" s="160"/>
      <c r="M187" s="160"/>
      <c r="N187" s="215"/>
    </row>
    <row r="188" spans="1:14" ht="15" customHeight="1">
      <c r="A188" s="159"/>
      <c r="B188" s="159"/>
      <c r="C188" s="159" t="s">
        <v>1453</v>
      </c>
      <c r="D188" s="159" t="s">
        <v>1452</v>
      </c>
      <c r="E188" s="195" t="s">
        <v>1454</v>
      </c>
      <c r="F188" s="159"/>
      <c r="G188" s="161"/>
      <c r="H188" s="163"/>
      <c r="I188" s="212"/>
      <c r="J188" s="160"/>
      <c r="K188" s="160"/>
      <c r="L188" s="160"/>
      <c r="M188" s="160"/>
      <c r="N188" s="215"/>
    </row>
    <row r="189" spans="1:14" ht="15" customHeight="1">
      <c r="B189" s="154" t="s">
        <v>1522</v>
      </c>
      <c r="C189" s="154" t="s">
        <v>1455</v>
      </c>
      <c r="D189" s="154" t="s">
        <v>1452</v>
      </c>
      <c r="E189" s="194" t="s">
        <v>1456</v>
      </c>
      <c r="F189" s="154" t="s">
        <v>1159</v>
      </c>
      <c r="G189" s="164">
        <v>1</v>
      </c>
      <c r="H189" s="162">
        <v>100000</v>
      </c>
      <c r="I189" s="213">
        <f>H189*G189</f>
        <v>100000</v>
      </c>
      <c r="J189" s="162" t="s">
        <v>1087</v>
      </c>
      <c r="K189" s="162" t="s">
        <v>1088</v>
      </c>
      <c r="L189" s="162" t="s">
        <v>1160</v>
      </c>
      <c r="M189" s="162" t="s">
        <v>1452</v>
      </c>
      <c r="N189" s="216">
        <f>VLOOKUP(M189,'FC - outros'!$B$2:$C$21,2,0)</f>
        <v>44408</v>
      </c>
    </row>
    <row r="190" spans="1:14" ht="15" customHeight="1">
      <c r="B190" s="154" t="s">
        <v>1522</v>
      </c>
      <c r="C190" s="154" t="s">
        <v>1457</v>
      </c>
      <c r="D190" s="154" t="s">
        <v>1452</v>
      </c>
      <c r="E190" s="194" t="s">
        <v>1458</v>
      </c>
      <c r="F190" s="154" t="s">
        <v>1159</v>
      </c>
      <c r="G190" s="164"/>
      <c r="J190" s="162"/>
      <c r="K190" s="162"/>
      <c r="L190" s="162"/>
      <c r="M190" s="162"/>
    </row>
    <row r="191" spans="1:14" ht="15" customHeight="1">
      <c r="B191" s="154" t="s">
        <v>1522</v>
      </c>
      <c r="C191" s="154" t="s">
        <v>1459</v>
      </c>
      <c r="D191" s="154" t="s">
        <v>1452</v>
      </c>
      <c r="E191" s="194" t="s">
        <v>1460</v>
      </c>
      <c r="F191" s="154" t="s">
        <v>1159</v>
      </c>
      <c r="G191" s="164"/>
      <c r="J191" s="162"/>
      <c r="K191" s="162"/>
      <c r="L191" s="162"/>
      <c r="M191" s="162"/>
    </row>
    <row r="192" spans="1:14" ht="15" customHeight="1">
      <c r="B192" s="154" t="s">
        <v>1522</v>
      </c>
      <c r="C192" s="154" t="s">
        <v>1461</v>
      </c>
      <c r="D192" s="154" t="s">
        <v>1452</v>
      </c>
      <c r="E192" s="194" t="s">
        <v>1462</v>
      </c>
      <c r="F192" s="154" t="s">
        <v>1159</v>
      </c>
      <c r="G192" s="164"/>
      <c r="J192" s="162"/>
      <c r="K192" s="162"/>
      <c r="L192" s="162"/>
      <c r="M192" s="162"/>
    </row>
    <row r="193" spans="1:14" ht="15" customHeight="1">
      <c r="B193" s="154" t="s">
        <v>1522</v>
      </c>
      <c r="C193" s="154" t="s">
        <v>1463</v>
      </c>
      <c r="D193" s="154" t="s">
        <v>1452</v>
      </c>
      <c r="E193" s="194" t="s">
        <v>1464</v>
      </c>
      <c r="F193" s="154" t="s">
        <v>1076</v>
      </c>
      <c r="G193" s="164"/>
      <c r="J193" s="162"/>
      <c r="K193" s="162"/>
      <c r="L193" s="162"/>
      <c r="M193" s="162"/>
    </row>
    <row r="194" spans="1:14" ht="15" customHeight="1">
      <c r="B194" s="154" t="s">
        <v>1522</v>
      </c>
      <c r="C194" s="154" t="s">
        <v>1465</v>
      </c>
      <c r="D194" s="154" t="s">
        <v>1452</v>
      </c>
      <c r="E194" s="194" t="s">
        <v>1466</v>
      </c>
      <c r="F194" s="154" t="s">
        <v>1159</v>
      </c>
      <c r="G194" s="164"/>
      <c r="J194" s="162"/>
      <c r="K194" s="162"/>
      <c r="L194" s="162"/>
      <c r="M194" s="162"/>
    </row>
    <row r="195" spans="1:14" ht="15" customHeight="1">
      <c r="A195" s="159"/>
      <c r="B195" s="159"/>
      <c r="C195" s="159" t="s">
        <v>1467</v>
      </c>
      <c r="D195" s="159" t="s">
        <v>1452</v>
      </c>
      <c r="E195" s="195" t="s">
        <v>1468</v>
      </c>
      <c r="F195" s="159"/>
      <c r="G195" s="161"/>
      <c r="H195" s="163"/>
      <c r="I195" s="212"/>
      <c r="J195" s="160"/>
      <c r="K195" s="160"/>
      <c r="L195" s="160"/>
      <c r="M195" s="160"/>
      <c r="N195" s="215"/>
    </row>
    <row r="196" spans="1:14" ht="15" customHeight="1">
      <c r="B196" s="154" t="s">
        <v>1522</v>
      </c>
      <c r="C196" s="154" t="s">
        <v>1469</v>
      </c>
      <c r="D196" s="154" t="s">
        <v>1452</v>
      </c>
      <c r="E196" s="194" t="s">
        <v>1470</v>
      </c>
      <c r="F196" s="154" t="s">
        <v>1471</v>
      </c>
      <c r="G196" s="164"/>
      <c r="J196" s="162"/>
      <c r="K196" s="162"/>
      <c r="L196" s="162"/>
      <c r="M196" s="162"/>
    </row>
    <row r="197" spans="1:14" ht="15" customHeight="1">
      <c r="B197" s="154" t="s">
        <v>1522</v>
      </c>
      <c r="C197" s="154" t="s">
        <v>1472</v>
      </c>
      <c r="D197" s="154" t="s">
        <v>1452</v>
      </c>
      <c r="E197" s="194" t="s">
        <v>1473</v>
      </c>
      <c r="F197" s="154" t="s">
        <v>1159</v>
      </c>
      <c r="G197" s="164"/>
      <c r="J197" s="162"/>
      <c r="K197" s="162"/>
      <c r="L197" s="162"/>
      <c r="M197" s="162"/>
    </row>
    <row r="198" spans="1:14" ht="15" customHeight="1">
      <c r="B198" s="154" t="s">
        <v>1522</v>
      </c>
      <c r="C198" s="154" t="s">
        <v>1474</v>
      </c>
      <c r="D198" s="154" t="s">
        <v>1452</v>
      </c>
      <c r="E198" s="194" t="s">
        <v>1475</v>
      </c>
      <c r="F198" s="154" t="s">
        <v>1159</v>
      </c>
      <c r="G198" s="164"/>
      <c r="J198" s="162"/>
      <c r="K198" s="162"/>
      <c r="L198" s="162"/>
      <c r="M198" s="162"/>
    </row>
    <row r="199" spans="1:14" ht="15" customHeight="1">
      <c r="A199" s="159"/>
      <c r="B199" s="159"/>
      <c r="C199" s="159" t="s">
        <v>1476</v>
      </c>
      <c r="D199" s="159" t="s">
        <v>1452</v>
      </c>
      <c r="E199" s="195" t="s">
        <v>1477</v>
      </c>
      <c r="F199" s="159"/>
      <c r="G199" s="161"/>
      <c r="H199" s="163"/>
      <c r="I199" s="212"/>
      <c r="J199" s="160"/>
      <c r="K199" s="160"/>
      <c r="L199" s="160"/>
      <c r="M199" s="160"/>
      <c r="N199" s="215"/>
    </row>
    <row r="200" spans="1:14" ht="15" customHeight="1">
      <c r="B200" s="154" t="s">
        <v>1522</v>
      </c>
      <c r="C200" s="154" t="s">
        <v>1478</v>
      </c>
      <c r="D200" s="154" t="s">
        <v>1452</v>
      </c>
      <c r="E200" s="194" t="s">
        <v>1479</v>
      </c>
      <c r="F200" s="154" t="s">
        <v>1159</v>
      </c>
      <c r="G200" s="164"/>
      <c r="J200" s="162"/>
      <c r="K200" s="162"/>
      <c r="L200" s="162"/>
      <c r="M200" s="162"/>
    </row>
    <row r="201" spans="1:14" ht="15" customHeight="1">
      <c r="B201" s="154" t="s">
        <v>1522</v>
      </c>
      <c r="C201" s="154" t="s">
        <v>1480</v>
      </c>
      <c r="D201" s="154" t="s">
        <v>1452</v>
      </c>
      <c r="E201" s="194" t="s">
        <v>1481</v>
      </c>
      <c r="F201" s="154" t="s">
        <v>1159</v>
      </c>
      <c r="G201" s="164"/>
      <c r="J201" s="162"/>
      <c r="K201" s="162"/>
      <c r="L201" s="162"/>
      <c r="M201" s="162"/>
    </row>
    <row r="202" spans="1:14" ht="15" customHeight="1">
      <c r="B202" s="154" t="s">
        <v>1522</v>
      </c>
      <c r="C202" s="154" t="s">
        <v>1482</v>
      </c>
      <c r="D202" s="154" t="s">
        <v>1452</v>
      </c>
      <c r="E202" s="194" t="s">
        <v>1483</v>
      </c>
      <c r="F202" s="154" t="s">
        <v>1159</v>
      </c>
      <c r="G202" s="164"/>
      <c r="J202" s="162"/>
      <c r="K202" s="162"/>
      <c r="L202" s="162"/>
      <c r="M202" s="162"/>
    </row>
    <row r="203" spans="1:14" ht="15" customHeight="1">
      <c r="A203" s="159"/>
      <c r="B203" s="159"/>
      <c r="C203" s="159" t="s">
        <v>1484</v>
      </c>
      <c r="D203" s="159" t="s">
        <v>1452</v>
      </c>
      <c r="E203" s="195" t="s">
        <v>1485</v>
      </c>
      <c r="F203" s="159"/>
      <c r="G203" s="161"/>
      <c r="H203" s="163"/>
      <c r="I203" s="212"/>
      <c r="J203" s="160"/>
      <c r="K203" s="160"/>
      <c r="L203" s="160"/>
      <c r="M203" s="160"/>
      <c r="N203" s="215"/>
    </row>
    <row r="204" spans="1:14" ht="15" customHeight="1">
      <c r="B204" s="154" t="s">
        <v>1522</v>
      </c>
      <c r="C204" s="154" t="s">
        <v>1486</v>
      </c>
      <c r="D204" s="154" t="s">
        <v>1452</v>
      </c>
      <c r="E204" s="194" t="s">
        <v>1487</v>
      </c>
      <c r="F204" s="154" t="s">
        <v>1159</v>
      </c>
      <c r="G204" s="164"/>
      <c r="J204" s="162"/>
      <c r="K204" s="162"/>
      <c r="L204" s="162"/>
      <c r="M204" s="162"/>
    </row>
    <row r="205" spans="1:14" ht="15" customHeight="1">
      <c r="A205" s="159"/>
      <c r="B205" s="159"/>
      <c r="C205" s="159" t="s">
        <v>1488</v>
      </c>
      <c r="D205" s="159" t="s">
        <v>1452</v>
      </c>
      <c r="E205" s="195" t="s">
        <v>1489</v>
      </c>
      <c r="F205" s="159"/>
      <c r="G205" s="161"/>
      <c r="H205" s="163"/>
      <c r="I205" s="212"/>
      <c r="J205" s="160"/>
      <c r="K205" s="160"/>
      <c r="L205" s="160"/>
      <c r="M205" s="160"/>
      <c r="N205" s="215"/>
    </row>
    <row r="206" spans="1:14" ht="15" customHeight="1">
      <c r="B206" s="154" t="s">
        <v>1522</v>
      </c>
      <c r="C206" s="154" t="s">
        <v>1490</v>
      </c>
      <c r="D206" s="154" t="s">
        <v>1452</v>
      </c>
      <c r="E206" s="194" t="s">
        <v>1491</v>
      </c>
      <c r="F206" s="154" t="s">
        <v>1076</v>
      </c>
      <c r="G206" s="164"/>
      <c r="J206" s="162"/>
      <c r="K206" s="162"/>
      <c r="L206" s="162"/>
      <c r="M206" s="162"/>
    </row>
    <row r="207" spans="1:14" ht="15" customHeight="1">
      <c r="B207" s="154" t="s">
        <v>1522</v>
      </c>
      <c r="C207" s="154" t="s">
        <v>1492</v>
      </c>
      <c r="D207" s="154" t="s">
        <v>1452</v>
      </c>
      <c r="E207" s="194" t="s">
        <v>1493</v>
      </c>
      <c r="F207" s="154" t="s">
        <v>1076</v>
      </c>
      <c r="G207" s="164"/>
      <c r="J207" s="162"/>
      <c r="K207" s="162"/>
      <c r="L207" s="162"/>
      <c r="M207" s="162"/>
    </row>
    <row r="208" spans="1:14" ht="15" customHeight="1">
      <c r="B208" s="154" t="s">
        <v>1522</v>
      </c>
      <c r="C208" s="154" t="s">
        <v>1494</v>
      </c>
      <c r="D208" s="154" t="s">
        <v>1452</v>
      </c>
      <c r="E208" s="194" t="s">
        <v>1495</v>
      </c>
      <c r="F208" s="154" t="s">
        <v>1076</v>
      </c>
      <c r="G208" s="164"/>
      <c r="J208" s="162"/>
      <c r="K208" s="162"/>
      <c r="L208" s="162"/>
      <c r="M208" s="162"/>
    </row>
    <row r="209" spans="2:13" ht="15" customHeight="1">
      <c r="B209" s="154" t="s">
        <v>1522</v>
      </c>
      <c r="C209" s="154" t="s">
        <v>1496</v>
      </c>
      <c r="D209" s="154" t="s">
        <v>1452</v>
      </c>
      <c r="E209" s="194" t="s">
        <v>1497</v>
      </c>
      <c r="F209" s="154" t="s">
        <v>1076</v>
      </c>
      <c r="G209" s="164"/>
      <c r="J209" s="162"/>
      <c r="K209" s="162"/>
      <c r="L209" s="162"/>
      <c r="M209" s="162"/>
    </row>
    <row r="210" spans="2:13" ht="15" customHeight="1">
      <c r="B210" s="154" t="s">
        <v>1522</v>
      </c>
      <c r="C210" s="154" t="s">
        <v>1498</v>
      </c>
      <c r="D210" s="154" t="s">
        <v>1452</v>
      </c>
      <c r="E210" s="194" t="s">
        <v>1499</v>
      </c>
      <c r="F210" s="154" t="s">
        <v>1076</v>
      </c>
      <c r="G210" s="164"/>
      <c r="J210" s="162"/>
      <c r="K210" s="162"/>
      <c r="L210" s="162"/>
      <c r="M210" s="162"/>
    </row>
    <row r="212" spans="2:13">
      <c r="I212" s="213">
        <f>I2+I3+I39+I83</f>
        <v>1884367.0000000002</v>
      </c>
      <c r="J212" s="224">
        <f>I212/I214</f>
        <v>0.71832832875952013</v>
      </c>
    </row>
    <row r="213" spans="2:13">
      <c r="I213" s="213">
        <f>I187+I165+I141+I120</f>
        <v>738900</v>
      </c>
      <c r="J213" s="224">
        <f>I213/I214</f>
        <v>0.28167167124047993</v>
      </c>
    </row>
    <row r="214" spans="2:13">
      <c r="I214" s="213">
        <f>I213+I212</f>
        <v>2623267</v>
      </c>
    </row>
  </sheetData>
  <autoFilter ref="A1:N210" xr:uid="{C111B037-9840-4DD3-BCBC-3B42C6714E97}"/>
  <conditionalFormatting sqref="C80:C82">
    <cfRule type="duplicateValues" dxfId="35" priority="4"/>
  </conditionalFormatting>
  <conditionalFormatting sqref="C76:C78">
    <cfRule type="duplicateValues" dxfId="34" priority="3"/>
  </conditionalFormatting>
  <conditionalFormatting sqref="A80:A82">
    <cfRule type="duplicateValues" dxfId="33" priority="2"/>
  </conditionalFormatting>
  <conditionalFormatting sqref="A76:A78">
    <cfRule type="duplicateValues" dxfId="32" priority="1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I167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9A54A-4CCC-4AF9-9582-35AED1069847}">
  <dimension ref="A1:B44"/>
  <sheetViews>
    <sheetView workbookViewId="0">
      <selection activeCell="E25" sqref="E25"/>
    </sheetView>
  </sheetViews>
  <sheetFormatPr defaultRowHeight="15"/>
  <cols>
    <col min="1" max="1" width="18" bestFit="1" customWidth="1"/>
    <col min="2" max="2" width="17.42578125" style="35" customWidth="1"/>
  </cols>
  <sheetData>
    <row r="1" spans="1:2">
      <c r="A1" s="59" t="s">
        <v>965</v>
      </c>
      <c r="B1" t="s">
        <v>967</v>
      </c>
    </row>
    <row r="3" spans="1:2">
      <c r="A3" s="59" t="s">
        <v>978</v>
      </c>
      <c r="B3" s="35" t="s">
        <v>980</v>
      </c>
    </row>
    <row r="4" spans="1:2">
      <c r="A4" s="60">
        <v>1</v>
      </c>
      <c r="B4" s="35">
        <v>2720.5</v>
      </c>
    </row>
    <row r="5" spans="1:2">
      <c r="A5" s="60">
        <v>4</v>
      </c>
      <c r="B5" s="35">
        <v>34356.199999999997</v>
      </c>
    </row>
    <row r="6" spans="1:2">
      <c r="A6" s="60">
        <v>5</v>
      </c>
      <c r="B6" s="35">
        <v>70046.7</v>
      </c>
    </row>
    <row r="7" spans="1:2">
      <c r="A7" s="60">
        <v>6</v>
      </c>
      <c r="B7" s="35">
        <v>350</v>
      </c>
    </row>
    <row r="8" spans="1:2">
      <c r="A8" s="60">
        <v>7</v>
      </c>
      <c r="B8" s="35">
        <v>34912.199999999997</v>
      </c>
    </row>
    <row r="9" spans="1:2">
      <c r="A9" s="60">
        <v>8</v>
      </c>
      <c r="B9" s="35">
        <v>96711</v>
      </c>
    </row>
    <row r="10" spans="1:2">
      <c r="A10" s="60">
        <v>9</v>
      </c>
      <c r="B10" s="35">
        <v>66451</v>
      </c>
    </row>
    <row r="11" spans="1:2">
      <c r="A11" s="60">
        <v>10</v>
      </c>
      <c r="B11" s="35">
        <v>96983.7</v>
      </c>
    </row>
    <row r="12" spans="1:2">
      <c r="A12" s="60">
        <v>11</v>
      </c>
      <c r="B12" s="35">
        <v>66451</v>
      </c>
    </row>
    <row r="13" spans="1:2">
      <c r="A13" s="60">
        <v>12</v>
      </c>
      <c r="B13" s="35">
        <v>102754.3</v>
      </c>
    </row>
    <row r="14" spans="1:2">
      <c r="A14" s="60">
        <v>13</v>
      </c>
      <c r="B14" s="35">
        <v>77021.600000000006</v>
      </c>
    </row>
    <row r="15" spans="1:2">
      <c r="A15" s="60">
        <v>14</v>
      </c>
      <c r="B15" s="35">
        <v>107554.3</v>
      </c>
    </row>
    <row r="16" spans="1:2">
      <c r="A16" s="60">
        <v>15</v>
      </c>
      <c r="B16" s="35">
        <v>74081.7</v>
      </c>
    </row>
    <row r="17" spans="1:2">
      <c r="A17" s="60">
        <v>16</v>
      </c>
      <c r="B17" s="35">
        <v>34006.100000000006</v>
      </c>
    </row>
    <row r="18" spans="1:2">
      <c r="A18" s="60">
        <v>17</v>
      </c>
      <c r="B18" s="35">
        <v>20649.2</v>
      </c>
    </row>
    <row r="19" spans="1:2">
      <c r="A19" s="60">
        <v>18</v>
      </c>
      <c r="B19" s="35">
        <v>54808.800000000003</v>
      </c>
    </row>
    <row r="20" spans="1:2">
      <c r="A20" s="60">
        <v>19</v>
      </c>
      <c r="B20" s="35">
        <v>44278.999999999993</v>
      </c>
    </row>
    <row r="21" spans="1:2">
      <c r="A21" s="60">
        <v>20</v>
      </c>
      <c r="B21" s="35">
        <v>12180.900000000001</v>
      </c>
    </row>
    <row r="22" spans="1:2">
      <c r="A22" s="60">
        <v>21</v>
      </c>
      <c r="B22" s="35">
        <v>239.1</v>
      </c>
    </row>
    <row r="23" spans="1:2">
      <c r="A23" s="60">
        <v>22</v>
      </c>
      <c r="B23" s="35">
        <v>51907.5</v>
      </c>
    </row>
    <row r="24" spans="1:2">
      <c r="A24" s="60">
        <v>23</v>
      </c>
      <c r="B24" s="35">
        <v>20473.400000000001</v>
      </c>
    </row>
    <row r="25" spans="1:2">
      <c r="A25" s="60">
        <v>24</v>
      </c>
      <c r="B25" s="35">
        <v>27229.3</v>
      </c>
    </row>
    <row r="26" spans="1:2">
      <c r="A26" s="60">
        <v>25</v>
      </c>
      <c r="B26" s="35">
        <v>53752.9</v>
      </c>
    </row>
    <row r="27" spans="1:2">
      <c r="A27" s="60">
        <v>26</v>
      </c>
      <c r="B27" s="35">
        <v>38445.800000000003</v>
      </c>
    </row>
    <row r="28" spans="1:2">
      <c r="A28" s="60">
        <v>27</v>
      </c>
      <c r="B28" s="35">
        <v>38451.4</v>
      </c>
    </row>
    <row r="29" spans="1:2">
      <c r="A29" s="60">
        <v>28</v>
      </c>
      <c r="B29" s="35">
        <v>33933.4</v>
      </c>
    </row>
    <row r="30" spans="1:2">
      <c r="A30" s="60">
        <v>29</v>
      </c>
      <c r="B30" s="35">
        <v>13742.099999999999</v>
      </c>
    </row>
    <row r="31" spans="1:2">
      <c r="A31" s="60">
        <v>30</v>
      </c>
      <c r="B31" s="35">
        <v>22372.1</v>
      </c>
    </row>
    <row r="32" spans="1:2">
      <c r="A32" s="60">
        <v>31</v>
      </c>
      <c r="B32" s="35">
        <v>33907.1</v>
      </c>
    </row>
    <row r="33" spans="1:2">
      <c r="A33" s="60">
        <v>32</v>
      </c>
      <c r="B33" s="35">
        <v>31434.300000000003</v>
      </c>
    </row>
    <row r="34" spans="1:2">
      <c r="A34" s="60">
        <v>33</v>
      </c>
      <c r="B34" s="35">
        <v>31883.5</v>
      </c>
    </row>
    <row r="35" spans="1:2">
      <c r="A35" s="60">
        <v>34</v>
      </c>
      <c r="B35" s="35">
        <v>32245.8</v>
      </c>
    </row>
    <row r="36" spans="1:2">
      <c r="A36" s="60">
        <v>35</v>
      </c>
      <c r="B36" s="35">
        <v>33971.300000000003</v>
      </c>
    </row>
    <row r="37" spans="1:2">
      <c r="A37" s="60">
        <v>36</v>
      </c>
      <c r="B37" s="35">
        <v>25887.699999999997</v>
      </c>
    </row>
    <row r="38" spans="1:2">
      <c r="A38" s="60">
        <v>37</v>
      </c>
      <c r="B38" s="35">
        <v>14511.3</v>
      </c>
    </row>
    <row r="39" spans="1:2">
      <c r="A39" s="60">
        <v>38</v>
      </c>
      <c r="B39" s="35">
        <v>19533.8</v>
      </c>
    </row>
    <row r="40" spans="1:2">
      <c r="A40" s="60">
        <v>39</v>
      </c>
      <c r="B40" s="35">
        <v>5029.1000000000004</v>
      </c>
    </row>
    <row r="41" spans="1:2">
      <c r="A41" s="60">
        <v>40</v>
      </c>
      <c r="B41" s="35">
        <v>3689.1</v>
      </c>
    </row>
    <row r="42" spans="1:2">
      <c r="A42" s="60">
        <v>41</v>
      </c>
      <c r="B42" s="35">
        <v>3688.8</v>
      </c>
    </row>
    <row r="43" spans="1:2">
      <c r="A43" s="60">
        <v>42</v>
      </c>
      <c r="B43" s="35">
        <v>2000</v>
      </c>
    </row>
    <row r="44" spans="1:2">
      <c r="A44" s="60" t="s">
        <v>979</v>
      </c>
      <c r="B44" s="35">
        <v>1534647.0000000005</v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4137F-91F8-4DD7-8079-B9995B04FBA1}">
  <dimension ref="A3:B44"/>
  <sheetViews>
    <sheetView workbookViewId="0">
      <selection activeCell="E8" sqref="E8"/>
    </sheetView>
  </sheetViews>
  <sheetFormatPr defaultRowHeight="15"/>
  <cols>
    <col min="1" max="1" width="18" bestFit="1" customWidth="1"/>
    <col min="2" max="2" width="18.42578125" style="36" bestFit="1" customWidth="1"/>
  </cols>
  <sheetData>
    <row r="3" spans="1:2">
      <c r="A3" s="59" t="s">
        <v>978</v>
      </c>
      <c r="B3" s="36" t="s">
        <v>1007</v>
      </c>
    </row>
    <row r="4" spans="1:2">
      <c r="A4" s="60">
        <v>1</v>
      </c>
      <c r="B4" s="36">
        <v>2720.5</v>
      </c>
    </row>
    <row r="5" spans="1:2">
      <c r="A5" s="60">
        <v>4</v>
      </c>
      <c r="B5" s="36">
        <v>0</v>
      </c>
    </row>
    <row r="6" spans="1:2">
      <c r="A6" s="60">
        <v>5</v>
      </c>
      <c r="B6" s="36">
        <v>0</v>
      </c>
    </row>
    <row r="7" spans="1:2">
      <c r="A7" s="60">
        <v>6</v>
      </c>
      <c r="B7" s="36">
        <v>0</v>
      </c>
    </row>
    <row r="8" spans="1:2">
      <c r="A8" s="60">
        <v>7</v>
      </c>
      <c r="B8" s="36">
        <v>0</v>
      </c>
    </row>
    <row r="9" spans="1:2">
      <c r="A9" s="60">
        <v>8</v>
      </c>
      <c r="B9" s="36">
        <v>0</v>
      </c>
    </row>
    <row r="10" spans="1:2">
      <c r="A10" s="60">
        <v>9</v>
      </c>
      <c r="B10" s="36">
        <v>0</v>
      </c>
    </row>
    <row r="11" spans="1:2">
      <c r="A11" s="60">
        <v>10</v>
      </c>
      <c r="B11" s="36">
        <v>0</v>
      </c>
    </row>
    <row r="12" spans="1:2">
      <c r="A12" s="60">
        <v>11</v>
      </c>
      <c r="B12" s="36">
        <v>0</v>
      </c>
    </row>
    <row r="13" spans="1:2">
      <c r="A13" s="60">
        <v>12</v>
      </c>
      <c r="B13" s="36">
        <v>0</v>
      </c>
    </row>
    <row r="14" spans="1:2">
      <c r="A14" s="60">
        <v>13</v>
      </c>
      <c r="B14" s="36">
        <v>0</v>
      </c>
    </row>
    <row r="15" spans="1:2">
      <c r="A15" s="60">
        <v>14</v>
      </c>
      <c r="B15" s="36">
        <v>0</v>
      </c>
    </row>
    <row r="16" spans="1:2">
      <c r="A16" s="60">
        <v>15</v>
      </c>
      <c r="B16" s="36">
        <v>0</v>
      </c>
    </row>
    <row r="17" spans="1:2">
      <c r="A17" s="60">
        <v>16</v>
      </c>
      <c r="B17" s="36">
        <v>0</v>
      </c>
    </row>
    <row r="18" spans="1:2">
      <c r="A18" s="60">
        <v>17</v>
      </c>
      <c r="B18" s="36">
        <v>0</v>
      </c>
    </row>
    <row r="19" spans="1:2">
      <c r="A19" s="60">
        <v>18</v>
      </c>
      <c r="B19" s="36">
        <v>0</v>
      </c>
    </row>
    <row r="20" spans="1:2">
      <c r="A20" s="60">
        <v>19</v>
      </c>
      <c r="B20" s="36">
        <v>0</v>
      </c>
    </row>
    <row r="21" spans="1:2">
      <c r="A21" s="60">
        <v>20</v>
      </c>
      <c r="B21" s="36">
        <v>0</v>
      </c>
    </row>
    <row r="22" spans="1:2">
      <c r="A22" s="60">
        <v>21</v>
      </c>
      <c r="B22" s="36">
        <v>0</v>
      </c>
    </row>
    <row r="23" spans="1:2">
      <c r="A23" s="60">
        <v>22</v>
      </c>
      <c r="B23" s="36">
        <v>0</v>
      </c>
    </row>
    <row r="24" spans="1:2">
      <c r="A24" s="60">
        <v>23</v>
      </c>
      <c r="B24" s="36">
        <v>0</v>
      </c>
    </row>
    <row r="25" spans="1:2">
      <c r="A25" s="60">
        <v>24</v>
      </c>
      <c r="B25" s="36">
        <v>0</v>
      </c>
    </row>
    <row r="26" spans="1:2">
      <c r="A26" s="60">
        <v>25</v>
      </c>
      <c r="B26" s="36">
        <v>0</v>
      </c>
    </row>
    <row r="27" spans="1:2">
      <c r="A27" s="60">
        <v>26</v>
      </c>
      <c r="B27" s="36">
        <v>0</v>
      </c>
    </row>
    <row r="28" spans="1:2">
      <c r="A28" s="60">
        <v>27</v>
      </c>
      <c r="B28" s="36">
        <v>0</v>
      </c>
    </row>
    <row r="29" spans="1:2">
      <c r="A29" s="60">
        <v>28</v>
      </c>
      <c r="B29" s="36">
        <v>0</v>
      </c>
    </row>
    <row r="30" spans="1:2">
      <c r="A30" s="60">
        <v>29</v>
      </c>
      <c r="B30" s="36">
        <v>0</v>
      </c>
    </row>
    <row r="31" spans="1:2">
      <c r="A31" s="60">
        <v>30</v>
      </c>
      <c r="B31" s="36">
        <v>0</v>
      </c>
    </row>
    <row r="32" spans="1:2">
      <c r="A32" s="60">
        <v>31</v>
      </c>
      <c r="B32" s="36">
        <v>0</v>
      </c>
    </row>
    <row r="33" spans="1:2">
      <c r="A33" s="60">
        <v>32</v>
      </c>
      <c r="B33" s="36">
        <v>0</v>
      </c>
    </row>
    <row r="34" spans="1:2">
      <c r="A34" s="60">
        <v>33</v>
      </c>
      <c r="B34" s="36">
        <v>0</v>
      </c>
    </row>
    <row r="35" spans="1:2">
      <c r="A35" s="60">
        <v>34</v>
      </c>
      <c r="B35" s="36">
        <v>0</v>
      </c>
    </row>
    <row r="36" spans="1:2">
      <c r="A36" s="60">
        <v>35</v>
      </c>
      <c r="B36" s="36">
        <v>0</v>
      </c>
    </row>
    <row r="37" spans="1:2">
      <c r="A37" s="60">
        <v>36</v>
      </c>
      <c r="B37" s="36">
        <v>0</v>
      </c>
    </row>
    <row r="38" spans="1:2">
      <c r="A38" s="60">
        <v>37</v>
      </c>
      <c r="B38" s="36">
        <v>0</v>
      </c>
    </row>
    <row r="39" spans="1:2">
      <c r="A39" s="60">
        <v>38</v>
      </c>
      <c r="B39" s="36">
        <v>0</v>
      </c>
    </row>
    <row r="40" spans="1:2">
      <c r="A40" s="60">
        <v>39</v>
      </c>
      <c r="B40" s="36">
        <v>0</v>
      </c>
    </row>
    <row r="41" spans="1:2">
      <c r="A41" s="60">
        <v>40</v>
      </c>
      <c r="B41" s="36">
        <v>0</v>
      </c>
    </row>
    <row r="42" spans="1:2">
      <c r="A42" s="60">
        <v>41</v>
      </c>
      <c r="B42" s="36">
        <v>0</v>
      </c>
    </row>
    <row r="43" spans="1:2">
      <c r="A43" s="60">
        <v>42</v>
      </c>
      <c r="B43" s="36">
        <v>0</v>
      </c>
    </row>
    <row r="44" spans="1:2">
      <c r="A44" s="60" t="s">
        <v>979</v>
      </c>
      <c r="B44" s="36">
        <v>2720.5</v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132EB-2D7F-46A7-B243-DD263585BC7E}">
  <dimension ref="A1:N45"/>
  <sheetViews>
    <sheetView zoomScale="70" zoomScaleNormal="70" workbookViewId="0">
      <selection activeCell="C18" sqref="C18"/>
    </sheetView>
  </sheetViews>
  <sheetFormatPr defaultRowHeight="15"/>
  <cols>
    <col min="1" max="1" width="17.140625" style="1" customWidth="1"/>
    <col min="2" max="2" width="11.5703125" style="1" customWidth="1"/>
    <col min="3" max="3" width="15.42578125" style="1" customWidth="1"/>
    <col min="4" max="4" width="14.28515625" style="1" customWidth="1"/>
    <col min="5" max="5" width="10.42578125" style="1" customWidth="1"/>
    <col min="6" max="6" width="17.7109375" style="1" customWidth="1"/>
    <col min="7" max="7" width="12.85546875" style="1" customWidth="1"/>
    <col min="8" max="8" width="15" style="1" customWidth="1"/>
    <col min="9" max="9" width="12.85546875" style="1" customWidth="1"/>
    <col min="10" max="10" width="12.7109375" style="1" bestFit="1" customWidth="1"/>
    <col min="11" max="11" width="10.42578125" bestFit="1" customWidth="1"/>
    <col min="12" max="12" width="13.42578125" bestFit="1" customWidth="1"/>
    <col min="13" max="13" width="9.85546875" bestFit="1" customWidth="1"/>
    <col min="14" max="14" width="12.7109375" bestFit="1" customWidth="1"/>
  </cols>
  <sheetData>
    <row r="1" spans="1:14">
      <c r="A1" s="72" t="s">
        <v>992</v>
      </c>
      <c r="B1" s="72"/>
      <c r="C1" s="233" t="s">
        <v>982</v>
      </c>
      <c r="D1" s="234"/>
      <c r="E1" s="234"/>
      <c r="F1" s="235"/>
      <c r="G1" s="227" t="s">
        <v>983</v>
      </c>
      <c r="H1" s="228"/>
      <c r="I1" s="228"/>
      <c r="J1" s="229"/>
      <c r="K1" s="230" t="s">
        <v>1512</v>
      </c>
      <c r="L1" s="231"/>
      <c r="M1" s="231"/>
      <c r="N1" s="232"/>
    </row>
    <row r="2" spans="1:14">
      <c r="A2" s="76"/>
      <c r="B2" s="76" t="s">
        <v>981</v>
      </c>
      <c r="C2" s="77" t="s">
        <v>984</v>
      </c>
      <c r="D2" s="77" t="s">
        <v>987</v>
      </c>
      <c r="E2" s="86" t="s">
        <v>985</v>
      </c>
      <c r="F2" s="78" t="s">
        <v>986</v>
      </c>
      <c r="G2" s="79" t="s">
        <v>984</v>
      </c>
      <c r="H2" s="94" t="s">
        <v>987</v>
      </c>
      <c r="I2" s="94" t="s">
        <v>985</v>
      </c>
      <c r="J2" s="80" t="s">
        <v>986</v>
      </c>
      <c r="K2" s="81" t="s">
        <v>984</v>
      </c>
      <c r="L2" s="98" t="s">
        <v>987</v>
      </c>
      <c r="M2" s="98" t="s">
        <v>985</v>
      </c>
      <c r="N2" s="82" t="s">
        <v>986</v>
      </c>
    </row>
    <row r="3" spans="1:14">
      <c r="A3" s="75"/>
      <c r="B3" s="75">
        <v>1</v>
      </c>
      <c r="C3" s="83">
        <f>IFERROR(VLOOKUP(B3,PLANEJADO!$A$4:$B$43,2,0),0)</f>
        <v>2720.5</v>
      </c>
      <c r="D3" s="83">
        <f>C3</f>
        <v>2720.5</v>
      </c>
      <c r="E3" s="173">
        <f>C3/$C$45</f>
        <v>1.7727203715251776E-3</v>
      </c>
      <c r="F3" s="176">
        <f>D3/$C$45</f>
        <v>1.7727203715251776E-3</v>
      </c>
      <c r="G3" s="69"/>
      <c r="H3" s="95"/>
      <c r="I3" s="95"/>
      <c r="J3" s="87"/>
      <c r="K3" s="70"/>
      <c r="L3" s="99"/>
      <c r="M3" s="99"/>
      <c r="N3" s="71"/>
    </row>
    <row r="4" spans="1:14">
      <c r="A4" s="73"/>
      <c r="B4" s="73">
        <v>2</v>
      </c>
      <c r="C4" s="84">
        <f>IFERROR(VLOOKUP(B4,PLANEJADO!$A$4:$B$43,2,0),0)</f>
        <v>0</v>
      </c>
      <c r="D4" s="84">
        <f>C4+D3</f>
        <v>2720.5</v>
      </c>
      <c r="E4" s="174">
        <f t="shared" ref="E4:E44" si="0">C4/$C$45</f>
        <v>0</v>
      </c>
      <c r="F4" s="177">
        <f t="shared" ref="F4:F44" si="1">D4/$C$45</f>
        <v>1.7727203715251776E-3</v>
      </c>
      <c r="G4" s="61"/>
      <c r="H4" s="96"/>
      <c r="I4" s="96"/>
      <c r="J4" s="88"/>
      <c r="K4" s="65"/>
      <c r="L4" s="100"/>
      <c r="M4" s="100"/>
      <c r="N4" s="66"/>
    </row>
    <row r="5" spans="1:14">
      <c r="A5" s="73"/>
      <c r="B5" s="73">
        <v>3</v>
      </c>
      <c r="C5" s="84">
        <f>IFERROR(VLOOKUP(B5,PLANEJADO!$A$4:$B$43,2,0),0)</f>
        <v>0</v>
      </c>
      <c r="D5" s="84">
        <f t="shared" ref="D5:D44" si="2">C5+D4</f>
        <v>2720.5</v>
      </c>
      <c r="E5" s="174">
        <f t="shared" si="0"/>
        <v>0</v>
      </c>
      <c r="F5" s="177">
        <f t="shared" si="1"/>
        <v>1.7727203715251776E-3</v>
      </c>
      <c r="G5" s="61"/>
      <c r="H5" s="96"/>
      <c r="I5" s="96"/>
      <c r="J5" s="88"/>
      <c r="K5" s="65"/>
      <c r="L5" s="100"/>
      <c r="M5" s="100"/>
      <c r="N5" s="66"/>
    </row>
    <row r="6" spans="1:14">
      <c r="A6" s="73"/>
      <c r="B6" s="73">
        <v>4</v>
      </c>
      <c r="C6" s="84">
        <f>IFERROR(VLOOKUP(B6,PLANEJADO!$A$4:$B$43,2,0),0)</f>
        <v>34356.199999999997</v>
      </c>
      <c r="D6" s="84">
        <f t="shared" si="2"/>
        <v>37076.699999999997</v>
      </c>
      <c r="E6" s="174">
        <f t="shared" si="0"/>
        <v>2.2387037540229113E-2</v>
      </c>
      <c r="F6" s="185">
        <f t="shared" si="1"/>
        <v>2.4159757911754291E-2</v>
      </c>
      <c r="G6" s="61"/>
      <c r="H6" s="96"/>
      <c r="I6" s="96"/>
      <c r="J6" s="88"/>
      <c r="K6" s="65"/>
      <c r="L6" s="100"/>
      <c r="M6" s="100"/>
      <c r="N6" s="66"/>
    </row>
    <row r="7" spans="1:14">
      <c r="A7" s="73"/>
      <c r="B7" s="73">
        <v>5</v>
      </c>
      <c r="C7" s="84">
        <f>IFERROR(VLOOKUP(B7,PLANEJADO!$A$4:$B$43,2,0),0)</f>
        <v>70046.7</v>
      </c>
      <c r="D7" s="84">
        <f t="shared" si="2"/>
        <v>107123.4</v>
      </c>
      <c r="E7" s="174">
        <f t="shared" si="0"/>
        <v>4.5643525840144333E-2</v>
      </c>
      <c r="F7" s="177">
        <f t="shared" si="1"/>
        <v>6.980328375189862E-2</v>
      </c>
      <c r="G7" s="61"/>
      <c r="H7" s="96"/>
      <c r="I7" s="96"/>
      <c r="J7" s="88"/>
      <c r="K7" s="65"/>
      <c r="L7" s="100"/>
      <c r="M7" s="100"/>
      <c r="N7" s="66"/>
    </row>
    <row r="8" spans="1:14">
      <c r="A8" s="73"/>
      <c r="B8" s="73">
        <v>6</v>
      </c>
      <c r="C8" s="84">
        <f>IFERROR(VLOOKUP(B8,PLANEJADO!$A$4:$B$43,2,0),0)</f>
        <v>350</v>
      </c>
      <c r="D8" s="84">
        <f t="shared" si="2"/>
        <v>107473.4</v>
      </c>
      <c r="E8" s="174">
        <f t="shared" si="0"/>
        <v>2.2806547694681571E-4</v>
      </c>
      <c r="F8" s="177">
        <f t="shared" si="1"/>
        <v>7.0031349228845435E-2</v>
      </c>
      <c r="G8" s="61"/>
      <c r="H8" s="96"/>
      <c r="I8" s="96"/>
      <c r="J8" s="88"/>
      <c r="K8" s="65"/>
      <c r="L8" s="100"/>
      <c r="M8" s="100"/>
      <c r="N8" s="66"/>
    </row>
    <row r="9" spans="1:14">
      <c r="A9" s="73"/>
      <c r="B9" s="73">
        <v>7</v>
      </c>
      <c r="C9" s="84">
        <f>IFERROR(VLOOKUP(B9,PLANEJADO!$A$4:$B$43,2,0),0)</f>
        <v>34912.199999999997</v>
      </c>
      <c r="D9" s="84">
        <f t="shared" si="2"/>
        <v>142385.59999999998</v>
      </c>
      <c r="E9" s="174">
        <f t="shared" si="0"/>
        <v>2.274933584075034E-2</v>
      </c>
      <c r="F9" s="177">
        <f t="shared" si="1"/>
        <v>9.2780685069595761E-2</v>
      </c>
      <c r="G9" s="61"/>
      <c r="H9" s="96"/>
      <c r="I9" s="96"/>
      <c r="J9" s="88"/>
      <c r="K9" s="65"/>
      <c r="L9" s="100"/>
      <c r="M9" s="100"/>
      <c r="N9" s="66"/>
    </row>
    <row r="10" spans="1:14">
      <c r="A10" s="73"/>
      <c r="B10" s="73">
        <v>8</v>
      </c>
      <c r="C10" s="84">
        <f>IFERROR(VLOOKUP(B10,PLANEJADO!$A$4:$B$43,2,0),0)</f>
        <v>96711</v>
      </c>
      <c r="D10" s="84">
        <f t="shared" si="2"/>
        <v>239096.59999999998</v>
      </c>
      <c r="E10" s="174">
        <f t="shared" si="0"/>
        <v>6.3018400974295702E-2</v>
      </c>
      <c r="F10" s="177">
        <f t="shared" si="1"/>
        <v>0.15579908604389148</v>
      </c>
      <c r="G10" s="61"/>
      <c r="H10" s="96"/>
      <c r="I10" s="96"/>
      <c r="J10" s="88"/>
      <c r="K10" s="65"/>
      <c r="L10" s="100"/>
      <c r="M10" s="100"/>
      <c r="N10" s="66"/>
    </row>
    <row r="11" spans="1:14">
      <c r="A11" s="73"/>
      <c r="B11" s="73">
        <v>9</v>
      </c>
      <c r="C11" s="84">
        <f>IFERROR(VLOOKUP(B11,PLANEJADO!$A$4:$B$43,2,0),0)</f>
        <v>66451</v>
      </c>
      <c r="D11" s="84">
        <f t="shared" si="2"/>
        <v>305547.59999999998</v>
      </c>
      <c r="E11" s="174">
        <f t="shared" si="0"/>
        <v>4.3300511453122428E-2</v>
      </c>
      <c r="F11" s="177">
        <f t="shared" si="1"/>
        <v>0.19909959749701389</v>
      </c>
      <c r="G11" s="61"/>
      <c r="H11" s="96"/>
      <c r="I11" s="96"/>
      <c r="J11" s="88"/>
      <c r="K11" s="65"/>
      <c r="L11" s="100"/>
      <c r="M11" s="100"/>
      <c r="N11" s="66"/>
    </row>
    <row r="12" spans="1:14">
      <c r="A12" s="73"/>
      <c r="B12" s="73">
        <v>10</v>
      </c>
      <c r="C12" s="84">
        <f>IFERROR(VLOOKUP(B12,PLANEJADO!$A$4:$B$43,2,0),0)</f>
        <v>96983.7</v>
      </c>
      <c r="D12" s="84">
        <f t="shared" si="2"/>
        <v>402531.3</v>
      </c>
      <c r="E12" s="174">
        <f t="shared" si="0"/>
        <v>6.3196096561619688E-2</v>
      </c>
      <c r="F12" s="177">
        <f t="shared" si="1"/>
        <v>0.26229569405863357</v>
      </c>
      <c r="G12" s="61"/>
      <c r="H12" s="96"/>
      <c r="I12" s="96"/>
      <c r="J12" s="88"/>
      <c r="K12" s="65"/>
      <c r="L12" s="100"/>
      <c r="M12" s="100"/>
      <c r="N12" s="66"/>
    </row>
    <row r="13" spans="1:14">
      <c r="A13" s="73"/>
      <c r="B13" s="73">
        <v>11</v>
      </c>
      <c r="C13" s="84">
        <f>IFERROR(VLOOKUP(B13,PLANEJADO!$A$4:$B$43,2,0),0)</f>
        <v>66451</v>
      </c>
      <c r="D13" s="84">
        <f t="shared" si="2"/>
        <v>468982.3</v>
      </c>
      <c r="E13" s="174">
        <f t="shared" si="0"/>
        <v>4.3300511453122428E-2</v>
      </c>
      <c r="F13" s="177">
        <f t="shared" si="1"/>
        <v>0.30559620551175604</v>
      </c>
      <c r="G13" s="61"/>
      <c r="H13" s="96"/>
      <c r="I13" s="96"/>
      <c r="J13" s="88"/>
      <c r="K13" s="65"/>
      <c r="L13" s="100"/>
      <c r="M13" s="100"/>
      <c r="N13" s="66"/>
    </row>
    <row r="14" spans="1:14">
      <c r="A14" s="73">
        <v>1</v>
      </c>
      <c r="B14" s="73">
        <v>12</v>
      </c>
      <c r="C14" s="84">
        <f>IFERROR(VLOOKUP(B14,PLANEJADO!$A$4:$B$43,2,0),0)</f>
        <v>102754.3</v>
      </c>
      <c r="D14" s="84">
        <f t="shared" si="2"/>
        <v>571736.6</v>
      </c>
      <c r="E14" s="174">
        <f t="shared" si="0"/>
        <v>6.6956309822389107E-2</v>
      </c>
      <c r="F14" s="177">
        <f t="shared" si="1"/>
        <v>0.37255251533414513</v>
      </c>
      <c r="G14" s="61"/>
      <c r="H14" s="96"/>
      <c r="I14" s="96"/>
      <c r="J14" s="88"/>
      <c r="K14" s="65"/>
      <c r="L14" s="100"/>
      <c r="M14" s="100"/>
      <c r="N14" s="66"/>
    </row>
    <row r="15" spans="1:14">
      <c r="A15" s="73"/>
      <c r="B15" s="73">
        <v>13</v>
      </c>
      <c r="C15" s="84">
        <f>IFERROR(VLOOKUP(B15,PLANEJADO!$A$4:$B$43,2,0),0)</f>
        <v>77021.600000000006</v>
      </c>
      <c r="D15" s="84">
        <f t="shared" si="2"/>
        <v>648758.19999999995</v>
      </c>
      <c r="E15" s="174">
        <f t="shared" si="0"/>
        <v>5.0188479826305324E-2</v>
      </c>
      <c r="F15" s="177">
        <f t="shared" si="1"/>
        <v>0.42274099516045044</v>
      </c>
      <c r="G15" s="61"/>
      <c r="H15" s="96"/>
      <c r="I15" s="96"/>
      <c r="J15" s="62"/>
      <c r="K15" s="65"/>
      <c r="L15" s="100"/>
      <c r="M15" s="100"/>
      <c r="N15" s="66"/>
    </row>
    <row r="16" spans="1:14">
      <c r="A16" s="73"/>
      <c r="B16" s="73">
        <v>14</v>
      </c>
      <c r="C16" s="84">
        <f>IFERROR(VLOOKUP(B16,PLANEJADO!$A$4:$B$43,2,0),0)</f>
        <v>107554.3</v>
      </c>
      <c r="D16" s="84">
        <f t="shared" si="2"/>
        <v>756312.5</v>
      </c>
      <c r="E16" s="174">
        <f t="shared" si="0"/>
        <v>7.008406493480257E-2</v>
      </c>
      <c r="F16" s="177">
        <f t="shared" si="1"/>
        <v>0.49282506009525301</v>
      </c>
      <c r="G16" s="61"/>
      <c r="H16" s="96"/>
      <c r="I16" s="96"/>
      <c r="J16" s="62"/>
      <c r="K16" s="65"/>
      <c r="L16" s="100"/>
      <c r="M16" s="100"/>
      <c r="N16" s="66"/>
    </row>
    <row r="17" spans="1:14">
      <c r="A17" s="73"/>
      <c r="B17" s="73">
        <v>15</v>
      </c>
      <c r="C17" s="84">
        <f>IFERROR(VLOOKUP(B17,PLANEJADO!$A$4:$B$43,2,0),0)</f>
        <v>74081.7</v>
      </c>
      <c r="D17" s="84">
        <f t="shared" si="2"/>
        <v>830394.2</v>
      </c>
      <c r="E17" s="174">
        <f t="shared" si="0"/>
        <v>4.8272794981516903E-2</v>
      </c>
      <c r="F17" s="177">
        <f t="shared" si="1"/>
        <v>0.54109785507676988</v>
      </c>
      <c r="G17" s="61"/>
      <c r="H17" s="96"/>
      <c r="I17" s="96"/>
      <c r="J17" s="62"/>
      <c r="K17" s="65"/>
      <c r="L17" s="100"/>
      <c r="M17" s="100"/>
      <c r="N17" s="66"/>
    </row>
    <row r="18" spans="1:14">
      <c r="A18" s="73"/>
      <c r="B18" s="73">
        <v>16</v>
      </c>
      <c r="C18" s="84">
        <f>IFERROR(VLOOKUP(B18,PLANEJADO!$A$4:$B$43,2,0),0)</f>
        <v>34006.100000000006</v>
      </c>
      <c r="D18" s="84">
        <f t="shared" si="2"/>
        <v>864400.29999999993</v>
      </c>
      <c r="E18" s="174">
        <f t="shared" si="0"/>
        <v>2.215890690171746E-2</v>
      </c>
      <c r="F18" s="177">
        <f t="shared" si="1"/>
        <v>0.5632567619784874</v>
      </c>
      <c r="G18" s="61"/>
      <c r="H18" s="96"/>
      <c r="I18" s="96"/>
      <c r="J18" s="62"/>
      <c r="K18" s="65"/>
      <c r="L18" s="100"/>
      <c r="M18" s="100"/>
      <c r="N18" s="66"/>
    </row>
    <row r="19" spans="1:14">
      <c r="A19" s="73"/>
      <c r="B19" s="73">
        <v>17</v>
      </c>
      <c r="C19" s="84">
        <f>IFERROR(VLOOKUP(B19,PLANEJADO!$A$4:$B$43,2,0),0)</f>
        <v>20649.2</v>
      </c>
      <c r="D19" s="84">
        <f t="shared" si="2"/>
        <v>885049.49999999988</v>
      </c>
      <c r="E19" s="174">
        <f t="shared" si="0"/>
        <v>1.3455341847343393E-2</v>
      </c>
      <c r="F19" s="177">
        <f t="shared" si="1"/>
        <v>0.57671210382583071</v>
      </c>
      <c r="G19" s="61"/>
      <c r="H19" s="96"/>
      <c r="I19" s="96"/>
      <c r="J19" s="62"/>
      <c r="K19" s="65"/>
      <c r="L19" s="100"/>
      <c r="M19" s="100"/>
      <c r="N19" s="66"/>
    </row>
    <row r="20" spans="1:14">
      <c r="A20" s="73"/>
      <c r="B20" s="73">
        <v>18</v>
      </c>
      <c r="C20" s="84">
        <f>IFERROR(VLOOKUP(B20,PLANEJADO!$A$4:$B$43,2,0),0)</f>
        <v>54808.800000000003</v>
      </c>
      <c r="D20" s="84">
        <f t="shared" si="2"/>
        <v>939858.29999999993</v>
      </c>
      <c r="E20" s="174">
        <f t="shared" si="0"/>
        <v>3.5714271751093242E-2</v>
      </c>
      <c r="F20" s="177">
        <f t="shared" si="1"/>
        <v>0.61242637557692392</v>
      </c>
      <c r="G20" s="61"/>
      <c r="H20" s="96"/>
      <c r="I20" s="96"/>
      <c r="J20" s="62"/>
      <c r="K20" s="65"/>
      <c r="L20" s="100"/>
      <c r="M20" s="100"/>
      <c r="N20" s="66"/>
    </row>
    <row r="21" spans="1:14">
      <c r="A21" s="73"/>
      <c r="B21" s="73">
        <v>19</v>
      </c>
      <c r="C21" s="84">
        <f>IFERROR(VLOOKUP(B21,PLANEJADO!$A$4:$B$43,2,0),0)</f>
        <v>44278.999999999993</v>
      </c>
      <c r="D21" s="84">
        <f t="shared" si="2"/>
        <v>984137.29999999993</v>
      </c>
      <c r="E21" s="174">
        <f t="shared" si="0"/>
        <v>2.8852889296365862E-2</v>
      </c>
      <c r="F21" s="177">
        <f t="shared" si="1"/>
        <v>0.64127926487328979</v>
      </c>
      <c r="G21" s="61"/>
      <c r="H21" s="96"/>
      <c r="I21" s="96"/>
      <c r="J21" s="62"/>
      <c r="K21" s="65"/>
      <c r="L21" s="100"/>
      <c r="M21" s="100"/>
      <c r="N21" s="66"/>
    </row>
    <row r="22" spans="1:14">
      <c r="A22" s="73"/>
      <c r="B22" s="73">
        <v>20</v>
      </c>
      <c r="C22" s="84">
        <f>IFERROR(VLOOKUP(B22,PLANEJADO!$A$4:$B$43,2,0),0)</f>
        <v>12180.900000000001</v>
      </c>
      <c r="D22" s="84">
        <f t="shared" si="2"/>
        <v>996318.2</v>
      </c>
      <c r="E22" s="174">
        <f t="shared" si="0"/>
        <v>7.9372650518327661E-3</v>
      </c>
      <c r="F22" s="177">
        <f t="shared" si="1"/>
        <v>0.64921652992512258</v>
      </c>
      <c r="G22" s="61"/>
      <c r="H22" s="96"/>
      <c r="I22" s="96"/>
      <c r="J22" s="62"/>
      <c r="K22" s="65"/>
      <c r="L22" s="100"/>
      <c r="M22" s="100"/>
      <c r="N22" s="66"/>
    </row>
    <row r="23" spans="1:14">
      <c r="A23" s="73"/>
      <c r="B23" s="73">
        <v>21</v>
      </c>
      <c r="C23" s="84">
        <f>IFERROR(VLOOKUP(B23,PLANEJADO!$A$4:$B$43,2,0),0)</f>
        <v>239.1</v>
      </c>
      <c r="D23" s="84">
        <f t="shared" si="2"/>
        <v>996557.29999999993</v>
      </c>
      <c r="E23" s="174">
        <f t="shared" si="0"/>
        <v>1.5580130153709611E-4</v>
      </c>
      <c r="F23" s="177">
        <f t="shared" si="1"/>
        <v>0.64937233122665972</v>
      </c>
      <c r="G23" s="61"/>
      <c r="H23" s="96"/>
      <c r="I23" s="96"/>
      <c r="J23" s="62"/>
      <c r="K23" s="65"/>
      <c r="L23" s="100"/>
      <c r="M23" s="100"/>
      <c r="N23" s="66"/>
    </row>
    <row r="24" spans="1:14">
      <c r="A24" s="73"/>
      <c r="B24" s="73">
        <v>22</v>
      </c>
      <c r="C24" s="84">
        <f>IFERROR(VLOOKUP(B24,PLANEJADO!$A$4:$B$43,2,0),0)</f>
        <v>51907.5</v>
      </c>
      <c r="D24" s="84">
        <f t="shared" si="2"/>
        <v>1048464.7999999999</v>
      </c>
      <c r="E24" s="174">
        <f t="shared" si="0"/>
        <v>3.3823739270333816E-2</v>
      </c>
      <c r="F24" s="177">
        <f t="shared" si="1"/>
        <v>0.68319607049699349</v>
      </c>
      <c r="G24" s="61"/>
      <c r="H24" s="96"/>
      <c r="I24" s="96"/>
      <c r="J24" s="62"/>
      <c r="K24" s="65"/>
      <c r="L24" s="100"/>
      <c r="M24" s="100"/>
      <c r="N24" s="66"/>
    </row>
    <row r="25" spans="1:14">
      <c r="A25" s="73"/>
      <c r="B25" s="73">
        <v>23</v>
      </c>
      <c r="C25" s="84">
        <f>IFERROR(VLOOKUP(B25,PLANEJADO!$A$4:$B$43,2,0),0)</f>
        <v>20473.400000000001</v>
      </c>
      <c r="D25" s="84">
        <f t="shared" si="2"/>
        <v>1068938.2</v>
      </c>
      <c r="E25" s="174">
        <f t="shared" si="0"/>
        <v>1.3340787816351249E-2</v>
      </c>
      <c r="F25" s="177">
        <f t="shared" si="1"/>
        <v>0.69653685831334478</v>
      </c>
      <c r="G25" s="61"/>
      <c r="H25" s="96"/>
      <c r="I25" s="96"/>
      <c r="J25" s="62"/>
      <c r="K25" s="65"/>
      <c r="L25" s="100"/>
      <c r="M25" s="100"/>
      <c r="N25" s="66"/>
    </row>
    <row r="26" spans="1:14">
      <c r="A26" s="73"/>
      <c r="B26" s="73">
        <v>24</v>
      </c>
      <c r="C26" s="84">
        <f>IFERROR(VLOOKUP(B26,PLANEJADO!$A$4:$B$43,2,0),0)</f>
        <v>27229.3</v>
      </c>
      <c r="D26" s="84">
        <f t="shared" si="2"/>
        <v>1096167.5</v>
      </c>
      <c r="E26" s="174">
        <f t="shared" si="0"/>
        <v>1.7743037975508368E-2</v>
      </c>
      <c r="F26" s="177">
        <f t="shared" si="1"/>
        <v>0.71427989628885313</v>
      </c>
      <c r="G26" s="61"/>
      <c r="H26" s="96"/>
      <c r="I26" s="96"/>
      <c r="J26" s="62"/>
      <c r="K26" s="65"/>
      <c r="L26" s="100"/>
      <c r="M26" s="100"/>
      <c r="N26" s="66"/>
    </row>
    <row r="27" spans="1:14">
      <c r="A27" s="73"/>
      <c r="B27" s="73">
        <v>25</v>
      </c>
      <c r="C27" s="84">
        <f>IFERROR(VLOOKUP(B27,PLANEJADO!$A$4:$B$43,2,0),0)</f>
        <v>53752.9</v>
      </c>
      <c r="D27" s="84">
        <f t="shared" si="2"/>
        <v>1149920.3999999999</v>
      </c>
      <c r="E27" s="174">
        <f t="shared" si="0"/>
        <v>3.5026230787927118E-2</v>
      </c>
      <c r="F27" s="177">
        <f t="shared" si="1"/>
        <v>0.74930612707678024</v>
      </c>
      <c r="G27" s="61"/>
      <c r="H27" s="96"/>
      <c r="I27" s="96"/>
      <c r="J27" s="62"/>
      <c r="K27" s="65"/>
      <c r="L27" s="100"/>
      <c r="M27" s="100"/>
      <c r="N27" s="66"/>
    </row>
    <row r="28" spans="1:14">
      <c r="A28" s="73"/>
      <c r="B28" s="73">
        <v>26</v>
      </c>
      <c r="C28" s="84">
        <f>IFERROR(VLOOKUP(B28,PLANEJADO!$A$4:$B$43,2,0),0)</f>
        <v>38445.800000000003</v>
      </c>
      <c r="D28" s="84">
        <f t="shared" si="2"/>
        <v>1188366.2</v>
      </c>
      <c r="E28" s="174">
        <f t="shared" si="0"/>
        <v>2.5051884896005395E-2</v>
      </c>
      <c r="F28" s="177">
        <f t="shared" si="1"/>
        <v>0.77435801197278564</v>
      </c>
      <c r="G28" s="61"/>
      <c r="H28" s="96"/>
      <c r="I28" s="96"/>
      <c r="J28" s="62"/>
      <c r="K28" s="65"/>
      <c r="L28" s="100"/>
      <c r="M28" s="100"/>
      <c r="N28" s="66"/>
    </row>
    <row r="29" spans="1:14">
      <c r="A29" s="73"/>
      <c r="B29" s="73">
        <v>27</v>
      </c>
      <c r="C29" s="84">
        <f>IFERROR(VLOOKUP(B29,PLANEJADO!$A$4:$B$43,2,0),0)</f>
        <v>38451.4</v>
      </c>
      <c r="D29" s="84">
        <f t="shared" si="2"/>
        <v>1226817.5999999999</v>
      </c>
      <c r="E29" s="174">
        <f t="shared" si="0"/>
        <v>2.5055533943636542E-2</v>
      </c>
      <c r="F29" s="177">
        <f t="shared" si="1"/>
        <v>0.79941354591642211</v>
      </c>
      <c r="G29" s="61"/>
      <c r="H29" s="96"/>
      <c r="I29" s="96"/>
      <c r="J29" s="62"/>
      <c r="K29" s="65"/>
      <c r="L29" s="100"/>
      <c r="M29" s="100"/>
      <c r="N29" s="66"/>
    </row>
    <row r="30" spans="1:14">
      <c r="A30" s="73"/>
      <c r="B30" s="73">
        <v>28</v>
      </c>
      <c r="C30" s="84">
        <f>IFERROR(VLOOKUP(B30,PLANEJADO!$A$4:$B$43,2,0),0)</f>
        <v>33933.4</v>
      </c>
      <c r="D30" s="84">
        <f t="shared" si="2"/>
        <v>1260750.9999999998</v>
      </c>
      <c r="E30" s="174">
        <f t="shared" si="0"/>
        <v>2.211153444407736E-2</v>
      </c>
      <c r="F30" s="177">
        <f t="shared" si="1"/>
        <v>0.82152508036049943</v>
      </c>
      <c r="G30" s="61"/>
      <c r="H30" s="96"/>
      <c r="I30" s="96"/>
      <c r="J30" s="62"/>
      <c r="K30" s="65"/>
      <c r="L30" s="100"/>
      <c r="M30" s="100"/>
      <c r="N30" s="66"/>
    </row>
    <row r="31" spans="1:14">
      <c r="A31" s="73"/>
      <c r="B31" s="73">
        <v>29</v>
      </c>
      <c r="C31" s="84">
        <f>IFERROR(VLOOKUP(B31,PLANEJADO!$A$4:$B$43,2,0),0)</f>
        <v>13742.099999999999</v>
      </c>
      <c r="D31" s="84">
        <f t="shared" si="2"/>
        <v>1274493.0999999999</v>
      </c>
      <c r="E31" s="174">
        <f t="shared" si="0"/>
        <v>8.954567402145246E-3</v>
      </c>
      <c r="F31" s="177">
        <f t="shared" si="1"/>
        <v>0.83047964776264471</v>
      </c>
      <c r="G31" s="61"/>
      <c r="H31" s="96"/>
      <c r="I31" s="96"/>
      <c r="J31" s="62"/>
      <c r="K31" s="65"/>
      <c r="L31" s="100"/>
      <c r="M31" s="100"/>
      <c r="N31" s="66"/>
    </row>
    <row r="32" spans="1:14">
      <c r="A32" s="73"/>
      <c r="B32" s="73">
        <v>30</v>
      </c>
      <c r="C32" s="84">
        <f>IFERROR(VLOOKUP(B32,PLANEJADO!$A$4:$B$43,2,0),0)</f>
        <v>22372.1</v>
      </c>
      <c r="D32" s="84">
        <f t="shared" si="2"/>
        <v>1296865.2</v>
      </c>
      <c r="E32" s="174">
        <f t="shared" si="0"/>
        <v>1.4578010448005302E-2</v>
      </c>
      <c r="F32" s="177">
        <f t="shared" si="1"/>
        <v>0.84505765821065015</v>
      </c>
      <c r="G32" s="61"/>
      <c r="H32" s="96"/>
      <c r="I32" s="96"/>
      <c r="J32" s="62"/>
      <c r="K32" s="65"/>
      <c r="L32" s="100"/>
      <c r="M32" s="100"/>
      <c r="N32" s="66"/>
    </row>
    <row r="33" spans="1:14">
      <c r="A33" s="73"/>
      <c r="B33" s="73">
        <v>31</v>
      </c>
      <c r="C33" s="84">
        <f>IFERROR(VLOOKUP(B33,PLANEJADO!$A$4:$B$43,2,0),0)</f>
        <v>33907.1</v>
      </c>
      <c r="D33" s="84">
        <f t="shared" si="2"/>
        <v>1330772.3</v>
      </c>
      <c r="E33" s="174">
        <f t="shared" si="0"/>
        <v>2.2094396952523927E-2</v>
      </c>
      <c r="F33" s="177">
        <f t="shared" si="1"/>
        <v>0.86715205516317406</v>
      </c>
      <c r="G33" s="61"/>
      <c r="H33" s="96"/>
      <c r="I33" s="96"/>
      <c r="J33" s="62"/>
      <c r="K33" s="65"/>
      <c r="L33" s="100"/>
      <c r="M33" s="100"/>
      <c r="N33" s="66"/>
    </row>
    <row r="34" spans="1:14">
      <c r="A34" s="73"/>
      <c r="B34" s="73">
        <v>32</v>
      </c>
      <c r="C34" s="84">
        <f>IFERROR(VLOOKUP(B34,PLANEJADO!$A$4:$B$43,2,0),0)</f>
        <v>31434.300000000003</v>
      </c>
      <c r="D34" s="84">
        <f t="shared" si="2"/>
        <v>1362206.6</v>
      </c>
      <c r="E34" s="174">
        <f t="shared" si="0"/>
        <v>2.0483081777112257E-2</v>
      </c>
      <c r="F34" s="177">
        <f t="shared" si="1"/>
        <v>0.8876351369402864</v>
      </c>
      <c r="G34" s="61"/>
      <c r="H34" s="96"/>
      <c r="I34" s="96"/>
      <c r="J34" s="62"/>
      <c r="K34" s="65"/>
      <c r="L34" s="100"/>
      <c r="M34" s="100"/>
      <c r="N34" s="66"/>
    </row>
    <row r="35" spans="1:14">
      <c r="A35" s="73"/>
      <c r="B35" s="73">
        <v>33</v>
      </c>
      <c r="C35" s="84">
        <f>IFERROR(VLOOKUP(B35,PLANEJADO!$A$4:$B$43,2,0),0)</f>
        <v>31883.5</v>
      </c>
      <c r="D35" s="84">
        <f t="shared" si="2"/>
        <v>1394090.1</v>
      </c>
      <c r="E35" s="174">
        <f t="shared" si="0"/>
        <v>2.0775787526382282E-2</v>
      </c>
      <c r="F35" s="177">
        <f t="shared" si="1"/>
        <v>0.90841092446666871</v>
      </c>
      <c r="G35" s="61"/>
      <c r="H35" s="96"/>
      <c r="I35" s="96"/>
      <c r="J35" s="62"/>
      <c r="K35" s="65"/>
      <c r="L35" s="100"/>
      <c r="M35" s="100"/>
      <c r="N35" s="66"/>
    </row>
    <row r="36" spans="1:14">
      <c r="A36" s="73"/>
      <c r="B36" s="73">
        <v>34</v>
      </c>
      <c r="C36" s="84">
        <f>IFERROR(VLOOKUP(B36,PLANEJADO!$A$4:$B$43,2,0),0)</f>
        <v>32245.8</v>
      </c>
      <c r="D36" s="84">
        <f t="shared" si="2"/>
        <v>1426335.9000000001</v>
      </c>
      <c r="E36" s="174">
        <f t="shared" si="0"/>
        <v>2.1011867875804658E-2</v>
      </c>
      <c r="F36" s="177">
        <f t="shared" si="1"/>
        <v>0.92942279234247338</v>
      </c>
      <c r="G36" s="61"/>
      <c r="H36" s="96"/>
      <c r="I36" s="96"/>
      <c r="J36" s="62"/>
      <c r="K36" s="65"/>
      <c r="L36" s="100"/>
      <c r="M36" s="100"/>
      <c r="N36" s="66"/>
    </row>
    <row r="37" spans="1:14">
      <c r="A37" s="73"/>
      <c r="B37" s="73">
        <v>35</v>
      </c>
      <c r="C37" s="84">
        <f>IFERROR(VLOOKUP(B37,PLANEJADO!$A$4:$B$43,2,0),0)</f>
        <v>33971.300000000003</v>
      </c>
      <c r="D37" s="84">
        <f t="shared" si="2"/>
        <v>1460307.2000000002</v>
      </c>
      <c r="E37" s="174">
        <f t="shared" si="0"/>
        <v>2.2136230677152462E-2</v>
      </c>
      <c r="F37" s="177">
        <f t="shared" si="1"/>
        <v>0.9515590230196258</v>
      </c>
      <c r="G37" s="61"/>
      <c r="H37" s="96"/>
      <c r="I37" s="96"/>
      <c r="J37" s="62"/>
      <c r="K37" s="65"/>
      <c r="L37" s="100"/>
      <c r="M37" s="100"/>
      <c r="N37" s="66"/>
    </row>
    <row r="38" spans="1:14">
      <c r="A38" s="73"/>
      <c r="B38" s="73">
        <v>36</v>
      </c>
      <c r="C38" s="84">
        <f>IFERROR(VLOOKUP(B38,PLANEJADO!$A$4:$B$43,2,0),0)</f>
        <v>25887.699999999997</v>
      </c>
      <c r="D38" s="84">
        <f t="shared" si="2"/>
        <v>1486194.9000000001</v>
      </c>
      <c r="E38" s="174">
        <f t="shared" si="0"/>
        <v>1.68688304215888E-2</v>
      </c>
      <c r="F38" s="177">
        <f t="shared" si="1"/>
        <v>0.96842785344121463</v>
      </c>
      <c r="G38" s="61"/>
      <c r="H38" s="96"/>
      <c r="I38" s="96"/>
      <c r="J38" s="62"/>
      <c r="K38" s="65"/>
      <c r="L38" s="100"/>
      <c r="M38" s="100"/>
      <c r="N38" s="66"/>
    </row>
    <row r="39" spans="1:14">
      <c r="A39" s="73"/>
      <c r="B39" s="73">
        <v>37</v>
      </c>
      <c r="C39" s="84">
        <f>IFERROR(VLOOKUP(B39,PLANEJADO!$A$4:$B$43,2,0),0)</f>
        <v>14511.3</v>
      </c>
      <c r="D39" s="84">
        <f t="shared" si="2"/>
        <v>1500706.2000000002</v>
      </c>
      <c r="E39" s="174">
        <f t="shared" si="0"/>
        <v>9.455790158909504E-3</v>
      </c>
      <c r="F39" s="177">
        <f t="shared" si="1"/>
        <v>0.97788364360012414</v>
      </c>
      <c r="G39" s="61"/>
      <c r="H39" s="96"/>
      <c r="I39" s="96"/>
      <c r="J39" s="62"/>
      <c r="K39" s="65"/>
      <c r="L39" s="100"/>
      <c r="M39" s="100"/>
      <c r="N39" s="66"/>
    </row>
    <row r="40" spans="1:14">
      <c r="A40" s="73"/>
      <c r="B40" s="73">
        <v>38</v>
      </c>
      <c r="C40" s="84">
        <f>IFERROR(VLOOKUP(B40,PLANEJADO!$A$4:$B$43,2,0),0)</f>
        <v>19533.8</v>
      </c>
      <c r="D40" s="84">
        <f t="shared" si="2"/>
        <v>1520240.0000000002</v>
      </c>
      <c r="E40" s="174">
        <f t="shared" si="0"/>
        <v>1.272852975309631E-2</v>
      </c>
      <c r="F40" s="177">
        <f t="shared" si="1"/>
        <v>0.99061217335322049</v>
      </c>
      <c r="G40" s="61"/>
      <c r="H40" s="96"/>
      <c r="I40" s="96"/>
      <c r="J40" s="62"/>
      <c r="K40" s="65"/>
      <c r="L40" s="100"/>
      <c r="M40" s="100"/>
      <c r="N40" s="66"/>
    </row>
    <row r="41" spans="1:14">
      <c r="A41" s="73"/>
      <c r="B41" s="73">
        <v>39</v>
      </c>
      <c r="C41" s="84">
        <f>IFERROR(VLOOKUP(B41,PLANEJADO!$A$4:$B$43,2,0),0)</f>
        <v>5029.1000000000004</v>
      </c>
      <c r="D41" s="84">
        <f t="shared" si="2"/>
        <v>1525269.1000000003</v>
      </c>
      <c r="E41" s="174">
        <f t="shared" si="0"/>
        <v>3.2770402574663743E-3</v>
      </c>
      <c r="F41" s="177">
        <f t="shared" si="1"/>
        <v>0.99388921361068694</v>
      </c>
      <c r="G41" s="61"/>
      <c r="H41" s="96"/>
      <c r="I41" s="96"/>
      <c r="J41" s="62"/>
      <c r="K41" s="65"/>
      <c r="L41" s="100"/>
      <c r="M41" s="100"/>
      <c r="N41" s="66"/>
    </row>
    <row r="42" spans="1:14">
      <c r="A42" s="73"/>
      <c r="B42" s="73">
        <v>40</v>
      </c>
      <c r="C42" s="84">
        <f>IFERROR(VLOOKUP(B42,PLANEJADO!$A$4:$B$43,2,0),0)</f>
        <v>3689.1</v>
      </c>
      <c r="D42" s="84">
        <f t="shared" si="2"/>
        <v>1528958.2000000004</v>
      </c>
      <c r="E42" s="174">
        <f t="shared" si="0"/>
        <v>2.4038752885842795E-3</v>
      </c>
      <c r="F42" s="177">
        <f t="shared" si="1"/>
        <v>0.99629308889927126</v>
      </c>
      <c r="G42" s="61"/>
      <c r="H42" s="96"/>
      <c r="I42" s="96"/>
      <c r="J42" s="62"/>
      <c r="K42" s="65"/>
      <c r="L42" s="100"/>
      <c r="M42" s="100"/>
      <c r="N42" s="66"/>
    </row>
    <row r="43" spans="1:14">
      <c r="A43" s="73"/>
      <c r="B43" s="73">
        <v>41</v>
      </c>
      <c r="C43" s="84">
        <f>IFERROR(VLOOKUP(B43,PLANEJADO!$A$4:$B$43,2,0),0)</f>
        <v>3688.8</v>
      </c>
      <c r="D43" s="84">
        <f t="shared" si="2"/>
        <v>1532647.0000000005</v>
      </c>
      <c r="E43" s="174">
        <f t="shared" si="0"/>
        <v>2.403679803889754E-3</v>
      </c>
      <c r="F43" s="177">
        <f t="shared" si="1"/>
        <v>0.99869676870316104</v>
      </c>
      <c r="G43" s="61"/>
      <c r="H43" s="96"/>
      <c r="I43" s="96"/>
      <c r="J43" s="62"/>
      <c r="K43" s="65"/>
      <c r="L43" s="100"/>
      <c r="M43" s="100"/>
      <c r="N43" s="66"/>
    </row>
    <row r="44" spans="1:14">
      <c r="A44" s="74"/>
      <c r="B44" s="74">
        <v>42</v>
      </c>
      <c r="C44" s="85">
        <f>IFERROR(VLOOKUP(B44,PLANEJADO!$A$4:$B$43,2,0),0)</f>
        <v>2000</v>
      </c>
      <c r="D44" s="85">
        <f t="shared" si="2"/>
        <v>1534647.0000000005</v>
      </c>
      <c r="E44" s="175">
        <f t="shared" si="0"/>
        <v>1.3032312968389468E-3</v>
      </c>
      <c r="F44" s="178">
        <f t="shared" si="1"/>
        <v>1</v>
      </c>
      <c r="G44" s="63"/>
      <c r="H44" s="97"/>
      <c r="I44" s="97"/>
      <c r="J44" s="64"/>
      <c r="K44" s="67"/>
      <c r="L44" s="101"/>
      <c r="M44" s="101"/>
      <c r="N44" s="68"/>
    </row>
    <row r="45" spans="1:14">
      <c r="C45" s="90">
        <f>SUM(C3:C44)</f>
        <v>1534647.0000000005</v>
      </c>
    </row>
  </sheetData>
  <mergeCells count="3">
    <mergeCell ref="G1:J1"/>
    <mergeCell ref="K1:N1"/>
    <mergeCell ref="C1:F1"/>
  </mergeCell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63DC3-3BFC-4A65-BAB4-87F2B1D5E9B9}">
  <dimension ref="A3:E17"/>
  <sheetViews>
    <sheetView workbookViewId="0">
      <selection activeCell="E1" sqref="D1:E1048576"/>
    </sheetView>
  </sheetViews>
  <sheetFormatPr defaultRowHeight="15"/>
  <cols>
    <col min="1" max="1" width="18" bestFit="1" customWidth="1"/>
    <col min="2" max="2" width="15.85546875" style="136" bestFit="1" customWidth="1"/>
    <col min="4" max="4" width="18" bestFit="1" customWidth="1"/>
    <col min="5" max="5" width="15" style="136" bestFit="1" customWidth="1"/>
  </cols>
  <sheetData>
    <row r="3" spans="1:5">
      <c r="A3" s="59" t="s">
        <v>978</v>
      </c>
      <c r="B3" s="136" t="s">
        <v>1055</v>
      </c>
      <c r="D3" s="59" t="s">
        <v>978</v>
      </c>
      <c r="E3" s="136" t="s">
        <v>1058</v>
      </c>
    </row>
    <row r="4" spans="1:5">
      <c r="A4" s="120" t="s">
        <v>1042</v>
      </c>
      <c r="D4" s="120" t="s">
        <v>1056</v>
      </c>
    </row>
    <row r="5" spans="1:5">
      <c r="A5" s="120" t="s">
        <v>1043</v>
      </c>
      <c r="D5" s="120" t="s">
        <v>1043</v>
      </c>
    </row>
    <row r="6" spans="1:5">
      <c r="A6" s="141" t="s">
        <v>1044</v>
      </c>
      <c r="B6" s="136">
        <v>79987.015361110258</v>
      </c>
      <c r="D6" s="141" t="s">
        <v>1045</v>
      </c>
      <c r="E6" s="136">
        <v>27136.384638889733</v>
      </c>
    </row>
    <row r="7" spans="1:5">
      <c r="A7" s="141" t="s">
        <v>1045</v>
      </c>
      <c r="B7" s="136">
        <v>248542.14639501629</v>
      </c>
      <c r="D7" s="141" t="s">
        <v>1046</v>
      </c>
      <c r="E7" s="136">
        <v>33425.070673688111</v>
      </c>
    </row>
    <row r="8" spans="1:5">
      <c r="A8" s="141" t="s">
        <v>1046</v>
      </c>
      <c r="B8" s="136">
        <v>293663.28964659252</v>
      </c>
      <c r="D8" s="141" t="s">
        <v>1047</v>
      </c>
      <c r="E8" s="136">
        <v>56347.114968534923</v>
      </c>
    </row>
    <row r="9" spans="1:5">
      <c r="A9" s="141" t="s">
        <v>1047</v>
      </c>
      <c r="B9" s="136">
        <v>148579.27132754258</v>
      </c>
      <c r="D9" s="141" t="s">
        <v>1048</v>
      </c>
      <c r="E9" s="136">
        <v>71237.800118237414</v>
      </c>
    </row>
    <row r="10" spans="1:5">
      <c r="A10" s="141" t="s">
        <v>1048</v>
      </c>
      <c r="B10" s="136">
        <v>57587.577187022835</v>
      </c>
      <c r="D10" s="120" t="s">
        <v>1049</v>
      </c>
    </row>
    <row r="11" spans="1:5">
      <c r="A11" s="120" t="s">
        <v>1049</v>
      </c>
      <c r="D11" s="141" t="s">
        <v>1050</v>
      </c>
      <c r="E11" s="136">
        <v>40611.188500437464</v>
      </c>
    </row>
    <row r="12" spans="1:5">
      <c r="A12" s="141" t="s">
        <v>1050</v>
      </c>
      <c r="B12" s="136">
        <v>99596.285915226385</v>
      </c>
      <c r="D12" s="141" t="s">
        <v>1051</v>
      </c>
      <c r="E12" s="136">
        <v>58519.378315900998</v>
      </c>
    </row>
    <row r="13" spans="1:5">
      <c r="A13" s="141" t="s">
        <v>1051</v>
      </c>
      <c r="B13" s="136">
        <v>62630.555813167353</v>
      </c>
      <c r="D13" s="141" t="s">
        <v>1052</v>
      </c>
      <c r="E13" s="136">
        <v>38541.908903323063</v>
      </c>
    </row>
    <row r="14" spans="1:5">
      <c r="A14" s="141" t="s">
        <v>1052</v>
      </c>
      <c r="B14" s="136">
        <v>112705.66150095761</v>
      </c>
      <c r="D14" s="141" t="s">
        <v>1053</v>
      </c>
      <c r="E14" s="136">
        <v>49945.680538297311</v>
      </c>
    </row>
    <row r="15" spans="1:5">
      <c r="A15" s="141" t="s">
        <v>1053</v>
      </c>
      <c r="B15" s="136">
        <v>25258.58464838189</v>
      </c>
      <c r="D15" s="141" t="s">
        <v>1054</v>
      </c>
      <c r="E15" s="136">
        <v>20954.185547673354</v>
      </c>
    </row>
    <row r="16" spans="1:5">
      <c r="A16" s="141" t="s">
        <v>1054</v>
      </c>
      <c r="B16" s="136">
        <v>0</v>
      </c>
      <c r="D16" s="141" t="s">
        <v>1057</v>
      </c>
      <c r="E16" s="136">
        <v>9377.9</v>
      </c>
    </row>
    <row r="17" spans="1:5">
      <c r="A17" s="120" t="s">
        <v>979</v>
      </c>
      <c r="B17" s="136">
        <v>1128550.387795018</v>
      </c>
      <c r="D17" s="120" t="s">
        <v>979</v>
      </c>
      <c r="E17" s="136">
        <v>406096.61220498243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EA431-1CEE-4E54-B5C9-2D2ECEB2659D}">
  <dimension ref="A3:Z18"/>
  <sheetViews>
    <sheetView zoomScaleNormal="100" workbookViewId="0">
      <selection activeCell="M31" sqref="M31"/>
    </sheetView>
  </sheetViews>
  <sheetFormatPr defaultRowHeight="15"/>
  <cols>
    <col min="1" max="1" width="18" bestFit="1" customWidth="1"/>
    <col min="2" max="2" width="17.42578125" style="35" bestFit="1" customWidth="1"/>
    <col min="4" max="4" width="18" bestFit="1" customWidth="1"/>
    <col min="5" max="5" width="15" style="35" bestFit="1" customWidth="1"/>
    <col min="8" max="8" width="17.140625" customWidth="1"/>
    <col min="9" max="9" width="15.42578125" customWidth="1"/>
    <col min="10" max="10" width="17.28515625" customWidth="1"/>
    <col min="11" max="11" width="17" customWidth="1"/>
    <col min="12" max="12" width="16.85546875" customWidth="1"/>
    <col min="13" max="16" width="15" bestFit="1" customWidth="1"/>
    <col min="17" max="17" width="13.7109375" bestFit="1" customWidth="1"/>
    <col min="18" max="18" width="15.42578125" customWidth="1"/>
    <col min="19" max="19" width="14.5703125" customWidth="1"/>
  </cols>
  <sheetData>
    <row r="3" spans="1:26">
      <c r="A3" s="59" t="s">
        <v>978</v>
      </c>
      <c r="B3" s="35" t="s">
        <v>1055</v>
      </c>
      <c r="D3" s="59" t="s">
        <v>978</v>
      </c>
      <c r="E3" s="35" t="s">
        <v>1058</v>
      </c>
      <c r="I3" s="102">
        <v>44409</v>
      </c>
      <c r="J3" s="102">
        <v>44440</v>
      </c>
      <c r="K3" s="102">
        <v>44470</v>
      </c>
      <c r="L3" s="102">
        <v>44501</v>
      </c>
      <c r="M3" s="102">
        <v>44531</v>
      </c>
      <c r="N3" s="102">
        <v>44562</v>
      </c>
      <c r="O3" s="102">
        <v>44593</v>
      </c>
      <c r="P3" s="102">
        <v>44621</v>
      </c>
      <c r="Q3" s="102">
        <v>44652</v>
      </c>
      <c r="R3" s="102">
        <v>44682</v>
      </c>
      <c r="S3" s="102">
        <v>44713</v>
      </c>
      <c r="T3" s="102">
        <v>44743</v>
      </c>
      <c r="U3" s="102">
        <v>44774</v>
      </c>
      <c r="V3" s="102">
        <v>44805</v>
      </c>
      <c r="W3" s="102">
        <v>44835</v>
      </c>
      <c r="X3" s="102">
        <v>44866</v>
      </c>
      <c r="Y3" s="102">
        <v>44896</v>
      </c>
      <c r="Z3" s="102">
        <v>44927</v>
      </c>
    </row>
    <row r="4" spans="1:26">
      <c r="A4" s="120" t="s">
        <v>1042</v>
      </c>
      <c r="D4" s="120" t="s">
        <v>1056</v>
      </c>
      <c r="H4" s="146">
        <f>SUM(I4:S4)</f>
        <v>1534647.0000000002</v>
      </c>
      <c r="I4" s="35">
        <f>GETPIVOTDATA("R$ MAT",$A$3,"DATA MAT",8,"Anos",2021)</f>
        <v>79987.015361110258</v>
      </c>
      <c r="J4" s="35">
        <f>GETPIVOTDATA("R$ MAT",$A$3,"DATA MAT",9,"Anos",2021)+GETPIVOTDATA("R$ MO",$D$3,"DATA MO",9,"Anos2",2021)</f>
        <v>275678.53103390604</v>
      </c>
      <c r="K4" s="35">
        <f>GETPIVOTDATA("R$ MO",$D$3,"DATA MO",10,"Anos2",2021)+GETPIVOTDATA("R$ MAT",$A$3,"DATA MAT",10,"Anos",2021)</f>
        <v>327088.36032028066</v>
      </c>
      <c r="L4" s="35">
        <f>GETPIVOTDATA("R$ MO",$D$3,"DATA MO",11,"Anos2",2021)+GETPIVOTDATA("R$ MAT",$A$3,"DATA MAT",11,"Anos",2021)</f>
        <v>204926.38629607751</v>
      </c>
      <c r="M4" s="35">
        <f>GETPIVOTDATA("R$ MO",$D$3,"DATA MO",12,"Anos2",2021)+GETPIVOTDATA("R$ MAT",$A$3,"DATA MAT",12,"Anos",2021)</f>
        <v>128825.37730526025</v>
      </c>
      <c r="N4" s="35">
        <f>GETPIVOTDATA("R$ MO",$D$3,"DATA MO",1,"Anos2",2022)+GETPIVOTDATA("R$ MAT",$A$3,"DATA MAT",1,"Anos",2022)</f>
        <v>140207.47441566386</v>
      </c>
      <c r="O4" s="35">
        <f>GETPIVOTDATA("R$ MO",$D$3,"DATA MO",2,"Anos2",2022)+GETPIVOTDATA("R$ MAT",$A$3,"DATA MAT",2,"Anos",2022)</f>
        <v>121149.93412906835</v>
      </c>
      <c r="P4" s="35">
        <f>GETPIVOTDATA("R$ MO",$D$3,"DATA MO",3,"Anos2",2022)+GETPIVOTDATA("R$ MAT",$A$3,"DATA MAT",3,"Anos",2022)</f>
        <v>151247.57040428068</v>
      </c>
      <c r="Q4" s="35">
        <f>GETPIVOTDATA("R$ MO",$D$3,"DATA MO",4,"Anos2",2022)+GETPIVOTDATA("R$ MAT",$A$3,"DATA MAT",4,"Anos",2022)</f>
        <v>75204.2651866792</v>
      </c>
      <c r="R4" s="35">
        <f>GETPIVOTDATA("R$ MO",$D$3,"DATA MO",5,"Anos2",2022)+GETPIVOTDATA("R$ MAT",$A$3,"DATA MAT",5,"Anos",2022)</f>
        <v>20954.185547673354</v>
      </c>
      <c r="S4" s="35">
        <f>GETPIVOTDATA("R$ MO",$D$3,"DATA MO",6,"Anos2",2022)</f>
        <v>9377.9</v>
      </c>
    </row>
    <row r="5" spans="1:26">
      <c r="A5" s="141" t="s">
        <v>1032</v>
      </c>
      <c r="D5" s="120" t="s">
        <v>1043</v>
      </c>
      <c r="E5" s="35">
        <v>188146.37039935018</v>
      </c>
    </row>
    <row r="6" spans="1:26">
      <c r="A6" s="120" t="s">
        <v>1043</v>
      </c>
      <c r="B6" s="35">
        <v>828359.29991728463</v>
      </c>
      <c r="D6" s="141" t="s">
        <v>1045</v>
      </c>
      <c r="E6" s="35">
        <v>27136.384638889733</v>
      </c>
    </row>
    <row r="7" spans="1:26">
      <c r="A7" s="141" t="s">
        <v>1044</v>
      </c>
      <c r="B7" s="35">
        <v>79987.015361110258</v>
      </c>
      <c r="D7" s="141" t="s">
        <v>1046</v>
      </c>
      <c r="E7" s="35">
        <v>33425.070673688111</v>
      </c>
    </row>
    <row r="8" spans="1:26">
      <c r="A8" s="141" t="s">
        <v>1045</v>
      </c>
      <c r="B8" s="35">
        <v>248542.14639501629</v>
      </c>
      <c r="D8" s="141" t="s">
        <v>1047</v>
      </c>
      <c r="E8" s="35">
        <v>56347.114968534923</v>
      </c>
    </row>
    <row r="9" spans="1:26">
      <c r="A9" s="141" t="s">
        <v>1046</v>
      </c>
      <c r="B9" s="35">
        <v>293663.28964659252</v>
      </c>
      <c r="D9" s="141" t="s">
        <v>1048</v>
      </c>
      <c r="E9" s="35">
        <v>71237.800118237414</v>
      </c>
    </row>
    <row r="10" spans="1:26">
      <c r="A10" s="141" t="s">
        <v>1047</v>
      </c>
      <c r="B10" s="35">
        <v>148579.27132754258</v>
      </c>
      <c r="D10" s="120" t="s">
        <v>1049</v>
      </c>
      <c r="E10" s="35">
        <v>217950.24180563216</v>
      </c>
    </row>
    <row r="11" spans="1:26">
      <c r="A11" s="141" t="s">
        <v>1048</v>
      </c>
      <c r="B11" s="35">
        <v>57587.577187022835</v>
      </c>
      <c r="D11" s="141" t="s">
        <v>1050</v>
      </c>
      <c r="E11" s="35">
        <v>40611.188500437464</v>
      </c>
    </row>
    <row r="12" spans="1:26">
      <c r="A12" s="120" t="s">
        <v>1049</v>
      </c>
      <c r="B12" s="35">
        <v>300191.08787773328</v>
      </c>
      <c r="D12" s="141" t="s">
        <v>1051</v>
      </c>
      <c r="E12" s="35">
        <v>58519.378315900998</v>
      </c>
    </row>
    <row r="13" spans="1:26">
      <c r="A13" s="141" t="s">
        <v>1050</v>
      </c>
      <c r="B13" s="35">
        <v>99596.285915226385</v>
      </c>
      <c r="D13" s="141" t="s">
        <v>1052</v>
      </c>
      <c r="E13" s="35">
        <v>38541.908903323063</v>
      </c>
    </row>
    <row r="14" spans="1:26">
      <c r="A14" s="141" t="s">
        <v>1051</v>
      </c>
      <c r="B14" s="35">
        <v>62630.555813167353</v>
      </c>
      <c r="D14" s="141" t="s">
        <v>1053</v>
      </c>
      <c r="E14" s="35">
        <v>49945.680538297311</v>
      </c>
    </row>
    <row r="15" spans="1:26">
      <c r="A15" s="141" t="s">
        <v>1052</v>
      </c>
      <c r="B15" s="35">
        <v>112705.66150095761</v>
      </c>
      <c r="D15" s="141" t="s">
        <v>1054</v>
      </c>
      <c r="E15" s="35">
        <v>20954.185547673354</v>
      </c>
    </row>
    <row r="16" spans="1:26">
      <c r="A16" s="141" t="s">
        <v>1053</v>
      </c>
      <c r="B16" s="35">
        <v>25258.58464838189</v>
      </c>
      <c r="D16" s="141" t="s">
        <v>1057</v>
      </c>
      <c r="E16" s="35">
        <v>9377.9</v>
      </c>
    </row>
    <row r="17" spans="1:5">
      <c r="A17" s="141" t="s">
        <v>1054</v>
      </c>
      <c r="B17" s="35">
        <v>0</v>
      </c>
      <c r="D17" s="120" t="s">
        <v>979</v>
      </c>
      <c r="E17" s="35">
        <v>406096.61220498243</v>
      </c>
    </row>
    <row r="18" spans="1:5">
      <c r="A18" s="120" t="s">
        <v>979</v>
      </c>
      <c r="B18" s="35">
        <v>1128550.387795018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58A46-18A8-49E4-92CB-41D0FE488573}">
  <dimension ref="A1:P38"/>
  <sheetViews>
    <sheetView workbookViewId="0">
      <selection activeCell="A10" sqref="A10:XFD10"/>
    </sheetView>
  </sheetViews>
  <sheetFormatPr defaultRowHeight="15"/>
  <cols>
    <col min="1" max="1" width="36.85546875" bestFit="1" customWidth="1"/>
    <col min="2" max="2" width="19" style="1" bestFit="1" customWidth="1"/>
    <col min="3" max="3" width="14.85546875" style="1" customWidth="1"/>
    <col min="4" max="4" width="15.28515625" style="1" bestFit="1" customWidth="1"/>
    <col min="5" max="5" width="14.28515625" style="1" bestFit="1" customWidth="1"/>
    <col min="6" max="6" width="13.28515625" style="1" bestFit="1" customWidth="1"/>
    <col min="7" max="9" width="12.140625" style="1" bestFit="1" customWidth="1"/>
    <col min="10" max="10" width="10.7109375" style="1" bestFit="1" customWidth="1"/>
    <col min="11" max="11" width="12.140625" style="1" bestFit="1" customWidth="1"/>
    <col min="12" max="12" width="10.7109375" style="1" bestFit="1" customWidth="1"/>
    <col min="13" max="14" width="12.140625" style="1" bestFit="1" customWidth="1"/>
    <col min="15" max="15" width="18.5703125" style="1" bestFit="1" customWidth="1"/>
    <col min="16" max="16" width="15.85546875" bestFit="1" customWidth="1"/>
  </cols>
  <sheetData>
    <row r="1" spans="1:16">
      <c r="A1" s="59" t="s">
        <v>1065</v>
      </c>
      <c r="B1" s="1" t="s">
        <v>1503</v>
      </c>
    </row>
    <row r="3" spans="1:16">
      <c r="A3" s="59" t="s">
        <v>1502</v>
      </c>
      <c r="B3" s="166" t="s">
        <v>1033</v>
      </c>
      <c r="P3" s="1"/>
    </row>
    <row r="4" spans="1:16">
      <c r="A4" s="59" t="s">
        <v>978</v>
      </c>
      <c r="B4" t="s">
        <v>1189</v>
      </c>
      <c r="C4" t="s">
        <v>1552</v>
      </c>
      <c r="D4" t="s">
        <v>1551</v>
      </c>
      <c r="E4" s="48">
        <v>44408</v>
      </c>
      <c r="F4" s="48">
        <v>44409</v>
      </c>
      <c r="G4" s="48">
        <v>44445</v>
      </c>
      <c r="H4" s="48">
        <v>44466</v>
      </c>
      <c r="I4" s="48">
        <v>44575</v>
      </c>
      <c r="J4" s="48">
        <v>44580</v>
      </c>
      <c r="K4" s="48">
        <v>44630</v>
      </c>
      <c r="L4" s="48">
        <v>44672</v>
      </c>
      <c r="M4" s="48">
        <v>44713</v>
      </c>
      <c r="N4" s="48">
        <v>44743</v>
      </c>
      <c r="O4" t="s">
        <v>1554</v>
      </c>
      <c r="P4" s="1" t="s">
        <v>979</v>
      </c>
    </row>
    <row r="5" spans="1:16">
      <c r="A5" s="120" t="s">
        <v>1520</v>
      </c>
      <c r="B5" s="8">
        <v>291170</v>
      </c>
      <c r="C5" s="8"/>
      <c r="D5" s="8">
        <v>34500</v>
      </c>
      <c r="E5" s="8"/>
      <c r="F5" s="8">
        <v>18500</v>
      </c>
      <c r="G5" s="8">
        <v>1000</v>
      </c>
      <c r="H5" s="8">
        <v>1000</v>
      </c>
      <c r="I5" s="8">
        <v>1000</v>
      </c>
      <c r="J5" s="8">
        <v>250</v>
      </c>
      <c r="K5" s="8">
        <v>1200</v>
      </c>
      <c r="L5" s="8">
        <v>100</v>
      </c>
      <c r="M5" s="8"/>
      <c r="N5" s="8">
        <v>1000</v>
      </c>
      <c r="O5" s="8">
        <v>1534647.0000000002</v>
      </c>
      <c r="P5" s="8">
        <v>1884367.0000000002</v>
      </c>
    </row>
    <row r="6" spans="1:16">
      <c r="A6" s="141" t="s">
        <v>1088</v>
      </c>
      <c r="B6" s="8"/>
      <c r="C6" s="8"/>
      <c r="D6" s="8"/>
      <c r="E6" s="8"/>
      <c r="F6" s="8">
        <v>18500</v>
      </c>
      <c r="G6" s="8"/>
      <c r="H6" s="8">
        <v>1000</v>
      </c>
      <c r="I6" s="8"/>
      <c r="J6" s="8">
        <v>250</v>
      </c>
      <c r="K6" s="8">
        <v>1200</v>
      </c>
      <c r="L6" s="8"/>
      <c r="M6" s="8"/>
      <c r="N6" s="8"/>
      <c r="O6" s="8"/>
      <c r="P6" s="8">
        <v>20950</v>
      </c>
    </row>
    <row r="7" spans="1:16">
      <c r="A7" s="141" t="s">
        <v>1523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>
        <v>1534647.0000000002</v>
      </c>
      <c r="P7" s="8">
        <v>1534647.0000000002</v>
      </c>
    </row>
    <row r="8" spans="1:16">
      <c r="A8" s="141" t="s">
        <v>1526</v>
      </c>
      <c r="B8" s="8">
        <v>291170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>
        <v>291170</v>
      </c>
    </row>
    <row r="9" spans="1:16">
      <c r="A9" s="141" t="s">
        <v>1527</v>
      </c>
      <c r="B9" s="8"/>
      <c r="C9" s="8"/>
      <c r="D9" s="217">
        <v>34500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>
        <v>34500</v>
      </c>
    </row>
    <row r="10" spans="1:16">
      <c r="A10" s="141" t="s">
        <v>1093</v>
      </c>
      <c r="B10" s="8"/>
      <c r="C10" s="8"/>
      <c r="D10" s="8"/>
      <c r="E10" s="8"/>
      <c r="F10" s="8"/>
      <c r="G10" s="8">
        <v>1000</v>
      </c>
      <c r="H10" s="8"/>
      <c r="I10" s="8">
        <v>1000</v>
      </c>
      <c r="J10" s="8"/>
      <c r="K10" s="8"/>
      <c r="L10" s="8">
        <v>100</v>
      </c>
      <c r="M10" s="8"/>
      <c r="N10" s="8">
        <v>1000</v>
      </c>
      <c r="O10" s="8"/>
      <c r="P10" s="8">
        <v>3100</v>
      </c>
    </row>
    <row r="11" spans="1:16">
      <c r="A11" s="120" t="s">
        <v>1522</v>
      </c>
      <c r="B11" s="8">
        <v>97900</v>
      </c>
      <c r="C11" s="8">
        <v>499200</v>
      </c>
      <c r="D11" s="8"/>
      <c r="E11" s="8">
        <v>125800</v>
      </c>
      <c r="F11" s="8">
        <v>5000</v>
      </c>
      <c r="G11" s="8"/>
      <c r="H11" s="8"/>
      <c r="I11" s="8"/>
      <c r="J11" s="8"/>
      <c r="K11" s="8"/>
      <c r="L11" s="8"/>
      <c r="M11" s="8">
        <v>3600</v>
      </c>
      <c r="N11" s="8">
        <v>7400</v>
      </c>
      <c r="O11" s="8"/>
      <c r="P11" s="8">
        <v>738900</v>
      </c>
    </row>
    <row r="12" spans="1:16">
      <c r="A12" s="120" t="s">
        <v>979</v>
      </c>
      <c r="B12" s="8">
        <v>389070</v>
      </c>
      <c r="C12" s="8">
        <v>499200</v>
      </c>
      <c r="D12" s="8">
        <v>34500</v>
      </c>
      <c r="E12" s="8">
        <v>125800</v>
      </c>
      <c r="F12" s="8">
        <v>23500</v>
      </c>
      <c r="G12" s="8">
        <v>1000</v>
      </c>
      <c r="H12" s="8">
        <v>1000</v>
      </c>
      <c r="I12" s="8">
        <v>1000</v>
      </c>
      <c r="J12" s="8">
        <v>250</v>
      </c>
      <c r="K12" s="8">
        <v>1200</v>
      </c>
      <c r="L12" s="8">
        <v>100</v>
      </c>
      <c r="M12" s="8">
        <v>3600</v>
      </c>
      <c r="N12" s="8">
        <v>8400</v>
      </c>
      <c r="O12" s="8">
        <v>1534647.0000000002</v>
      </c>
      <c r="P12" s="8">
        <v>2623267</v>
      </c>
    </row>
    <row r="13" spans="1:16">
      <c r="B13"/>
      <c r="C13"/>
      <c r="D13"/>
      <c r="E13"/>
      <c r="F13"/>
      <c r="G13"/>
      <c r="H13"/>
      <c r="I13"/>
      <c r="J13"/>
      <c r="K13"/>
      <c r="L13"/>
      <c r="M13"/>
      <c r="N13"/>
      <c r="O13"/>
    </row>
    <row r="14" spans="1:16"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6">
      <c r="B15"/>
      <c r="C15"/>
      <c r="D15"/>
      <c r="E15"/>
      <c r="F15"/>
      <c r="G15"/>
      <c r="H15"/>
      <c r="I15"/>
      <c r="J15"/>
      <c r="K15"/>
      <c r="L15"/>
      <c r="M15"/>
      <c r="N15"/>
      <c r="O15"/>
    </row>
    <row r="16" spans="1:16">
      <c r="B16"/>
      <c r="C16"/>
      <c r="D16"/>
      <c r="E16"/>
      <c r="F16"/>
      <c r="G16"/>
      <c r="H16"/>
      <c r="I16"/>
      <c r="J16"/>
      <c r="K16"/>
      <c r="L16"/>
      <c r="M16"/>
      <c r="N16"/>
      <c r="O16"/>
    </row>
    <row r="18" spans="1:3">
      <c r="A18" s="59" t="s">
        <v>1069</v>
      </c>
      <c r="B18" t="s">
        <v>1527</v>
      </c>
    </row>
    <row r="19" spans="1:3">
      <c r="A19" s="59" t="s">
        <v>1070</v>
      </c>
      <c r="B19" t="s">
        <v>1553</v>
      </c>
    </row>
    <row r="21" spans="1:3">
      <c r="A21" s="59" t="s">
        <v>978</v>
      </c>
      <c r="B21" t="s">
        <v>1555</v>
      </c>
      <c r="C21" t="s">
        <v>1502</v>
      </c>
    </row>
    <row r="22" spans="1:3">
      <c r="A22" s="120" t="s">
        <v>1537</v>
      </c>
      <c r="B22" s="218">
        <v>1500</v>
      </c>
      <c r="C22" s="218">
        <v>9000</v>
      </c>
    </row>
    <row r="23" spans="1:3">
      <c r="A23" s="120" t="s">
        <v>1236</v>
      </c>
      <c r="B23" s="218">
        <v>150</v>
      </c>
      <c r="C23" s="218">
        <v>300</v>
      </c>
    </row>
    <row r="24" spans="1:3">
      <c r="A24" s="120" t="s">
        <v>1538</v>
      </c>
      <c r="B24" s="218">
        <v>3000</v>
      </c>
      <c r="C24" s="218">
        <v>12000</v>
      </c>
    </row>
    <row r="25" spans="1:3">
      <c r="A25" s="120" t="s">
        <v>1123</v>
      </c>
      <c r="B25" s="218">
        <v>150</v>
      </c>
      <c r="C25" s="218">
        <v>600</v>
      </c>
    </row>
    <row r="26" spans="1:3">
      <c r="A26" s="120" t="s">
        <v>1130</v>
      </c>
      <c r="B26" s="218">
        <v>200</v>
      </c>
      <c r="C26" s="218">
        <v>600</v>
      </c>
    </row>
    <row r="27" spans="1:3">
      <c r="A27" s="120" t="s">
        <v>1079</v>
      </c>
      <c r="B27" s="218">
        <v>11000</v>
      </c>
      <c r="C27" s="218">
        <v>11000</v>
      </c>
    </row>
    <row r="28" spans="1:3">
      <c r="A28" s="120" t="s">
        <v>1118</v>
      </c>
      <c r="B28" s="218">
        <v>500</v>
      </c>
      <c r="C28" s="218">
        <v>1000</v>
      </c>
    </row>
    <row r="29" spans="1:3">
      <c r="A29" s="120" t="s">
        <v>979</v>
      </c>
      <c r="B29" s="210">
        <v>150</v>
      </c>
      <c r="C29" s="210">
        <v>34500</v>
      </c>
    </row>
    <row r="30" spans="1:3">
      <c r="B30"/>
      <c r="C30"/>
    </row>
    <row r="31" spans="1:3">
      <c r="B31"/>
      <c r="C31"/>
    </row>
    <row r="32" spans="1:3">
      <c r="B32"/>
      <c r="C32"/>
    </row>
    <row r="33" spans="2:3">
      <c r="B33"/>
      <c r="C33"/>
    </row>
    <row r="34" spans="2:3">
      <c r="B34"/>
      <c r="C34"/>
    </row>
    <row r="35" spans="2:3">
      <c r="B35"/>
      <c r="C35"/>
    </row>
    <row r="36" spans="2:3">
      <c r="B36"/>
      <c r="C36"/>
    </row>
    <row r="37" spans="2:3">
      <c r="B37"/>
      <c r="C37"/>
    </row>
    <row r="38" spans="2:3">
      <c r="B38"/>
      <c r="C38"/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2F9CF-26C2-4DEC-820E-863F499EA59C}">
  <dimension ref="B1:V32"/>
  <sheetViews>
    <sheetView zoomScale="130" zoomScaleNormal="130" workbookViewId="0">
      <selection activeCell="B19" sqref="B19"/>
    </sheetView>
  </sheetViews>
  <sheetFormatPr defaultRowHeight="14.25"/>
  <cols>
    <col min="1" max="1" width="13.140625" style="198" customWidth="1"/>
    <col min="2" max="2" width="41.85546875" style="203" customWidth="1"/>
    <col min="3" max="3" width="15.28515625" style="203" customWidth="1"/>
    <col min="4" max="4" width="15.7109375" style="198" customWidth="1"/>
    <col min="5" max="5" width="10.140625" style="198" customWidth="1"/>
    <col min="6" max="6" width="12.140625" style="198" customWidth="1"/>
    <col min="7" max="7" width="12.7109375" style="198" customWidth="1"/>
    <col min="8" max="8" width="14" style="198" bestFit="1" customWidth="1"/>
    <col min="9" max="16384" width="9.140625" style="198"/>
  </cols>
  <sheetData>
    <row r="1" spans="2:22" ht="15.75" thickBot="1">
      <c r="B1" s="199" t="s">
        <v>1059</v>
      </c>
      <c r="C1" s="199"/>
      <c r="E1" s="200">
        <v>44408</v>
      </c>
      <c r="F1" s="200">
        <v>44409</v>
      </c>
      <c r="G1" s="200">
        <v>44440</v>
      </c>
      <c r="H1" s="200">
        <v>44470</v>
      </c>
      <c r="I1" s="200">
        <v>44501</v>
      </c>
      <c r="J1" s="200">
        <v>44531</v>
      </c>
      <c r="K1" s="200">
        <v>44562</v>
      </c>
      <c r="L1" s="200">
        <v>44593</v>
      </c>
      <c r="M1" s="200">
        <v>44621</v>
      </c>
      <c r="N1" s="200">
        <v>44652</v>
      </c>
      <c r="O1" s="200">
        <v>44682</v>
      </c>
      <c r="P1" s="200">
        <v>44713</v>
      </c>
      <c r="Q1" s="200">
        <v>44743</v>
      </c>
      <c r="R1" s="200">
        <v>44774</v>
      </c>
      <c r="S1" s="200">
        <v>44805</v>
      </c>
      <c r="T1" s="200">
        <v>44835</v>
      </c>
      <c r="U1" s="200">
        <v>44866</v>
      </c>
      <c r="V1" s="200">
        <v>44896</v>
      </c>
    </row>
    <row r="2" spans="2:22" ht="15.75" thickBot="1">
      <c r="B2" s="199" t="s">
        <v>1452</v>
      </c>
      <c r="C2" s="200">
        <v>44408</v>
      </c>
      <c r="E2" s="201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</row>
    <row r="3" spans="2:22" ht="15" thickBot="1">
      <c r="B3" s="203" t="s">
        <v>1323</v>
      </c>
      <c r="C3" s="200">
        <v>44408</v>
      </c>
      <c r="E3" s="201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</row>
    <row r="4" spans="2:22" ht="15" thickBot="1">
      <c r="B4" s="204" t="s">
        <v>1060</v>
      </c>
      <c r="C4" s="200">
        <v>44409</v>
      </c>
      <c r="E4" s="202"/>
      <c r="F4" s="201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</row>
    <row r="5" spans="2:22" ht="15" thickBot="1">
      <c r="B5" s="204" t="s">
        <v>1536</v>
      </c>
      <c r="C5" s="200">
        <v>44466</v>
      </c>
      <c r="E5" s="202"/>
      <c r="Q5" s="202"/>
      <c r="R5" s="202"/>
      <c r="S5" s="202"/>
      <c r="T5" s="202"/>
      <c r="U5" s="202"/>
      <c r="V5" s="202"/>
    </row>
    <row r="6" spans="2:22" ht="15" thickBot="1">
      <c r="B6" s="204" t="s">
        <v>1535</v>
      </c>
      <c r="C6" s="200">
        <v>44575</v>
      </c>
      <c r="E6" s="202"/>
      <c r="Q6" s="202"/>
      <c r="R6" s="202"/>
      <c r="S6" s="202"/>
      <c r="T6" s="202"/>
      <c r="U6" s="202"/>
      <c r="V6" s="202"/>
    </row>
    <row r="7" spans="2:22" ht="15" thickBot="1">
      <c r="B7" s="204" t="s">
        <v>1529</v>
      </c>
      <c r="C7" s="200">
        <v>44630</v>
      </c>
      <c r="E7" s="202"/>
      <c r="Q7" s="202"/>
      <c r="R7" s="202"/>
      <c r="S7" s="202"/>
      <c r="T7" s="202"/>
      <c r="U7" s="202"/>
      <c r="V7" s="202"/>
    </row>
    <row r="8" spans="2:22" ht="15" thickBot="1">
      <c r="B8" s="204" t="s">
        <v>1530</v>
      </c>
      <c r="C8" s="200">
        <v>44672</v>
      </c>
      <c r="E8" s="202"/>
      <c r="Q8" s="202"/>
      <c r="R8" s="202"/>
      <c r="S8" s="202"/>
      <c r="T8" s="202"/>
      <c r="U8" s="202"/>
      <c r="V8" s="202"/>
    </row>
    <row r="9" spans="2:22" ht="15" thickBot="1">
      <c r="B9" s="204" t="s">
        <v>1531</v>
      </c>
      <c r="C9" s="200">
        <v>44580</v>
      </c>
      <c r="E9" s="202"/>
      <c r="Q9" s="202"/>
      <c r="R9" s="202"/>
      <c r="S9" s="202"/>
      <c r="T9" s="202"/>
      <c r="U9" s="202"/>
      <c r="V9" s="202"/>
    </row>
    <row r="10" spans="2:22" ht="15" thickBot="1">
      <c r="B10" s="204" t="s">
        <v>1532</v>
      </c>
      <c r="C10" s="200">
        <v>44445</v>
      </c>
      <c r="E10" s="202"/>
      <c r="Q10" s="202"/>
      <c r="R10" s="202"/>
      <c r="S10" s="202"/>
      <c r="T10" s="202"/>
      <c r="U10" s="202"/>
      <c r="V10" s="202"/>
    </row>
    <row r="11" spans="2:22" ht="15">
      <c r="B11" s="209" t="s">
        <v>1079</v>
      </c>
      <c r="C11"/>
      <c r="E11" s="202"/>
      <c r="F11" s="219">
        <f>11000/2</f>
        <v>5500</v>
      </c>
      <c r="G11" s="219">
        <v>5500</v>
      </c>
      <c r="H11" s="220"/>
      <c r="I11" s="220"/>
      <c r="J11" s="220"/>
      <c r="K11" s="220"/>
      <c r="L11" s="220"/>
      <c r="M11" s="220"/>
      <c r="N11" s="220"/>
      <c r="O11" s="220"/>
      <c r="P11" s="220"/>
      <c r="Q11" s="221"/>
      <c r="R11" s="202"/>
      <c r="S11" s="202"/>
      <c r="T11" s="202"/>
      <c r="U11" s="202"/>
      <c r="V11" s="202"/>
    </row>
    <row r="12" spans="2:22" ht="15">
      <c r="B12" s="209" t="s">
        <v>1538</v>
      </c>
      <c r="C12"/>
      <c r="E12" s="202"/>
      <c r="F12" s="220"/>
      <c r="G12" s="220"/>
      <c r="H12" s="222">
        <f>12000/4</f>
        <v>3000</v>
      </c>
      <c r="I12" s="222">
        <v>3000</v>
      </c>
      <c r="J12" s="222">
        <v>3000</v>
      </c>
      <c r="K12" s="222">
        <v>3000</v>
      </c>
      <c r="L12" s="220"/>
      <c r="M12" s="220"/>
      <c r="N12" s="220"/>
      <c r="O12" s="220"/>
      <c r="P12" s="220"/>
      <c r="Q12" s="221"/>
      <c r="R12" s="202"/>
      <c r="S12" s="202"/>
      <c r="T12" s="202"/>
      <c r="U12" s="202"/>
      <c r="V12" s="202"/>
    </row>
    <row r="13" spans="2:22" ht="15">
      <c r="B13" s="209" t="s">
        <v>1537</v>
      </c>
      <c r="C13"/>
      <c r="E13" s="202"/>
      <c r="F13" s="220"/>
      <c r="G13" s="222">
        <v>1500</v>
      </c>
      <c r="H13" s="222">
        <v>1500</v>
      </c>
      <c r="I13" s="222">
        <v>1500</v>
      </c>
      <c r="J13" s="222">
        <v>1500</v>
      </c>
      <c r="K13" s="222">
        <v>1500</v>
      </c>
      <c r="L13" s="222">
        <v>1500</v>
      </c>
      <c r="M13" s="220"/>
      <c r="N13" s="220"/>
      <c r="O13" s="220"/>
      <c r="P13" s="220"/>
      <c r="Q13" s="221"/>
      <c r="R13" s="202"/>
      <c r="S13" s="202"/>
      <c r="T13" s="202"/>
      <c r="U13" s="202"/>
      <c r="V13" s="202"/>
    </row>
    <row r="14" spans="2:22" ht="15">
      <c r="B14" s="209" t="s">
        <v>1118</v>
      </c>
      <c r="C14"/>
      <c r="E14" s="202"/>
      <c r="F14" s="220"/>
      <c r="G14" s="220"/>
      <c r="H14" s="220"/>
      <c r="I14" s="220"/>
      <c r="J14" s="220"/>
      <c r="K14" s="220"/>
      <c r="L14" s="220"/>
      <c r="M14" s="222">
        <v>500</v>
      </c>
      <c r="N14" s="222">
        <v>500</v>
      </c>
      <c r="O14" s="220"/>
      <c r="P14" s="220"/>
      <c r="Q14" s="221"/>
      <c r="R14" s="202"/>
      <c r="S14" s="202"/>
      <c r="T14" s="202"/>
      <c r="U14" s="202"/>
      <c r="V14" s="202"/>
    </row>
    <row r="15" spans="2:22" ht="15">
      <c r="B15" s="209" t="s">
        <v>1123</v>
      </c>
      <c r="C15"/>
      <c r="E15" s="202"/>
      <c r="F15" s="220"/>
      <c r="G15" s="220"/>
      <c r="H15" s="222">
        <v>300</v>
      </c>
      <c r="I15" s="222">
        <v>300</v>
      </c>
      <c r="J15" s="220"/>
      <c r="K15" s="220"/>
      <c r="L15" s="220"/>
      <c r="M15" s="220"/>
      <c r="N15" s="220"/>
      <c r="O15" s="220"/>
      <c r="P15" s="220"/>
      <c r="Q15" s="221"/>
      <c r="R15" s="202"/>
      <c r="S15" s="202"/>
      <c r="T15" s="202"/>
      <c r="U15" s="202"/>
      <c r="V15" s="202"/>
    </row>
    <row r="16" spans="2:22" ht="15">
      <c r="B16" s="209" t="s">
        <v>1130</v>
      </c>
      <c r="C16"/>
      <c r="E16" s="202"/>
      <c r="F16" s="222">
        <v>150</v>
      </c>
      <c r="G16" s="222">
        <v>150</v>
      </c>
      <c r="H16" s="222">
        <v>150</v>
      </c>
      <c r="I16" s="222">
        <v>150</v>
      </c>
      <c r="J16" s="220"/>
      <c r="K16" s="220"/>
      <c r="L16" s="220"/>
      <c r="M16" s="220"/>
      <c r="N16" s="220"/>
      <c r="O16" s="220"/>
      <c r="P16" s="220"/>
      <c r="Q16" s="221"/>
      <c r="R16" s="202"/>
      <c r="S16" s="202"/>
      <c r="T16" s="202"/>
      <c r="U16" s="202"/>
      <c r="V16" s="202"/>
    </row>
    <row r="17" spans="2:22" ht="15">
      <c r="B17" s="209" t="s">
        <v>1236</v>
      </c>
      <c r="C17"/>
      <c r="E17" s="202"/>
      <c r="F17" s="220"/>
      <c r="G17" s="220"/>
      <c r="H17" s="222">
        <v>100</v>
      </c>
      <c r="I17" s="222">
        <v>100</v>
      </c>
      <c r="J17" s="222">
        <v>100</v>
      </c>
      <c r="K17" s="220"/>
      <c r="L17" s="220"/>
      <c r="M17" s="220"/>
      <c r="N17" s="220"/>
      <c r="O17" s="220"/>
      <c r="P17" s="220"/>
      <c r="Q17" s="221"/>
      <c r="R17" s="202"/>
      <c r="S17" s="202"/>
      <c r="T17" s="202"/>
      <c r="U17" s="202"/>
      <c r="V17" s="202"/>
    </row>
    <row r="18" spans="2:22" ht="15.75" thickBot="1">
      <c r="B18" s="204" t="s">
        <v>1556</v>
      </c>
      <c r="C18"/>
      <c r="E18" s="202"/>
      <c r="F18" s="220">
        <f>SUM(F11:F17)</f>
        <v>5650</v>
      </c>
      <c r="G18" s="220">
        <f t="shared" ref="G18:P18" si="0">SUM(G11:G17)</f>
        <v>7150</v>
      </c>
      <c r="H18" s="220">
        <f t="shared" si="0"/>
        <v>5050</v>
      </c>
      <c r="I18" s="220">
        <f t="shared" si="0"/>
        <v>5050</v>
      </c>
      <c r="J18" s="220">
        <f t="shared" si="0"/>
        <v>4600</v>
      </c>
      <c r="K18" s="220">
        <f t="shared" si="0"/>
        <v>4500</v>
      </c>
      <c r="L18" s="220">
        <f t="shared" si="0"/>
        <v>1500</v>
      </c>
      <c r="M18" s="220">
        <f t="shared" si="0"/>
        <v>500</v>
      </c>
      <c r="N18" s="220">
        <f t="shared" si="0"/>
        <v>500</v>
      </c>
      <c r="O18" s="220">
        <f t="shared" si="0"/>
        <v>0</v>
      </c>
      <c r="P18" s="220">
        <f t="shared" si="0"/>
        <v>0</v>
      </c>
      <c r="Q18" s="221"/>
      <c r="R18" s="202"/>
      <c r="S18" s="202"/>
      <c r="T18" s="202"/>
      <c r="U18" s="202"/>
      <c r="V18" s="202"/>
    </row>
    <row r="19" spans="2:22" ht="15" thickBot="1">
      <c r="B19" s="204" t="s">
        <v>1063</v>
      </c>
      <c r="C19" s="200">
        <v>44713</v>
      </c>
      <c r="E19" s="202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3"/>
      <c r="Q19" s="221"/>
      <c r="R19" s="202"/>
      <c r="S19" s="202"/>
      <c r="T19" s="202"/>
      <c r="U19" s="202"/>
      <c r="V19" s="202"/>
    </row>
    <row r="20" spans="2:22" ht="15" thickBot="1">
      <c r="B20" s="204" t="s">
        <v>1061</v>
      </c>
      <c r="C20" s="200">
        <v>44743</v>
      </c>
      <c r="E20" s="202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3"/>
      <c r="R20" s="202"/>
      <c r="S20" s="202"/>
      <c r="T20" s="202"/>
      <c r="U20" s="202"/>
      <c r="V20" s="202"/>
    </row>
    <row r="21" spans="2:22" ht="15" thickBot="1">
      <c r="B21" s="204" t="s">
        <v>1062</v>
      </c>
      <c r="C21" s="200">
        <v>44743</v>
      </c>
      <c r="E21" s="202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3"/>
      <c r="R21" s="202"/>
      <c r="S21" s="202"/>
      <c r="T21" s="202"/>
      <c r="U21" s="202"/>
      <c r="V21" s="202"/>
    </row>
    <row r="25" spans="2:22">
      <c r="B25" s="198"/>
    </row>
    <row r="26" spans="2:22">
      <c r="B26" s="198"/>
    </row>
    <row r="27" spans="2:22">
      <c r="B27" s="198"/>
    </row>
    <row r="28" spans="2:22">
      <c r="B28" s="198"/>
    </row>
    <row r="29" spans="2:22">
      <c r="B29" s="198"/>
    </row>
    <row r="30" spans="2:22">
      <c r="B30" s="198"/>
    </row>
    <row r="31" spans="2:22">
      <c r="B31" s="198"/>
    </row>
    <row r="32" spans="2:22">
      <c r="B32" s="198"/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93006-6F28-4D21-9D8C-B13B93C91396}">
  <dimension ref="B1:AG56"/>
  <sheetViews>
    <sheetView showGridLines="0" tabSelected="1" zoomScale="85" zoomScaleNormal="85" workbookViewId="0">
      <selection activeCell="D3" sqref="D3"/>
    </sheetView>
  </sheetViews>
  <sheetFormatPr defaultRowHeight="15"/>
  <cols>
    <col min="2" max="2" width="9.140625" style="104"/>
    <col min="3" max="3" width="36.140625" style="114" customWidth="1"/>
    <col min="4" max="4" width="10.7109375" style="121" customWidth="1"/>
    <col min="5" max="21" width="10.7109375" style="104" customWidth="1"/>
    <col min="22" max="22" width="2.140625" style="104" customWidth="1"/>
    <col min="23" max="23" width="23.42578125" style="104" customWidth="1"/>
    <col min="24" max="24" width="13.5703125" style="147" customWidth="1"/>
    <col min="25" max="25" width="14.42578125" bestFit="1" customWidth="1"/>
  </cols>
  <sheetData>
    <row r="1" spans="2:24">
      <c r="C1" s="115" t="s">
        <v>1013</v>
      </c>
    </row>
    <row r="2" spans="2:24">
      <c r="C2" s="115"/>
    </row>
    <row r="3" spans="2:24">
      <c r="C3" s="116" t="s">
        <v>1014</v>
      </c>
      <c r="D3" s="106">
        <v>44409</v>
      </c>
      <c r="E3" s="109"/>
    </row>
    <row r="4" spans="2:24">
      <c r="C4" s="117"/>
      <c r="D4" s="109"/>
      <c r="E4" s="109"/>
    </row>
    <row r="5" spans="2:24" ht="15.75" thickBot="1"/>
    <row r="6" spans="2:24" s="103" customFormat="1" ht="15.75" thickBot="1">
      <c r="B6" s="105"/>
      <c r="C6" s="114"/>
      <c r="D6" s="107">
        <v>44378</v>
      </c>
      <c r="E6" s="107">
        <v>44409</v>
      </c>
      <c r="F6" s="107">
        <v>44440</v>
      </c>
      <c r="G6" s="107">
        <v>44470</v>
      </c>
      <c r="H6" s="107">
        <v>44501</v>
      </c>
      <c r="I6" s="107">
        <v>44531</v>
      </c>
      <c r="J6" s="107">
        <v>44562</v>
      </c>
      <c r="K6" s="107">
        <v>44593</v>
      </c>
      <c r="L6" s="107">
        <v>44621</v>
      </c>
      <c r="M6" s="107">
        <v>44652</v>
      </c>
      <c r="N6" s="107">
        <v>44682</v>
      </c>
      <c r="O6" s="107">
        <v>44713</v>
      </c>
      <c r="P6" s="107">
        <v>44743</v>
      </c>
      <c r="Q6" s="107">
        <v>44774</v>
      </c>
      <c r="R6" s="107">
        <v>44805</v>
      </c>
      <c r="S6" s="107">
        <v>44835</v>
      </c>
      <c r="T6" s="107">
        <v>44866</v>
      </c>
      <c r="U6" s="107">
        <v>44896</v>
      </c>
      <c r="V6" s="105"/>
      <c r="W6" s="107" t="s">
        <v>1012</v>
      </c>
      <c r="X6" s="148"/>
    </row>
    <row r="7" spans="2:24" ht="24.95" customHeight="1" thickBot="1">
      <c r="C7" s="118" t="s">
        <v>1507</v>
      </c>
      <c r="D7" s="111">
        <f t="shared" ref="D7:E7" si="0">D38</f>
        <v>0</v>
      </c>
      <c r="E7" s="111">
        <f t="shared" si="0"/>
        <v>200000</v>
      </c>
      <c r="F7" s="111">
        <f t="shared" ref="F7:U7" si="1">F38</f>
        <v>200000</v>
      </c>
      <c r="G7" s="111">
        <f t="shared" si="1"/>
        <v>400000</v>
      </c>
      <c r="H7" s="111">
        <f t="shared" si="1"/>
        <v>600000</v>
      </c>
      <c r="I7" s="111">
        <f t="shared" si="1"/>
        <v>600000</v>
      </c>
      <c r="J7" s="111">
        <f t="shared" si="1"/>
        <v>400000</v>
      </c>
      <c r="K7" s="111">
        <f t="shared" si="1"/>
        <v>200000</v>
      </c>
      <c r="L7" s="111">
        <f t="shared" si="1"/>
        <v>200000</v>
      </c>
      <c r="M7" s="111">
        <f t="shared" si="1"/>
        <v>200000</v>
      </c>
      <c r="N7" s="111">
        <f t="shared" si="1"/>
        <v>200000</v>
      </c>
      <c r="O7" s="111">
        <f t="shared" si="1"/>
        <v>0</v>
      </c>
      <c r="P7" s="111">
        <f t="shared" si="1"/>
        <v>0</v>
      </c>
      <c r="Q7" s="111">
        <f t="shared" si="1"/>
        <v>0</v>
      </c>
      <c r="R7" s="111">
        <f t="shared" si="1"/>
        <v>0</v>
      </c>
      <c r="S7" s="111">
        <f t="shared" si="1"/>
        <v>0</v>
      </c>
      <c r="T7" s="111">
        <f t="shared" si="1"/>
        <v>0</v>
      </c>
      <c r="U7" s="111">
        <f t="shared" si="1"/>
        <v>0</v>
      </c>
      <c r="V7" s="112"/>
      <c r="W7" s="111">
        <f>SUM(D7:U7)</f>
        <v>3200000</v>
      </c>
    </row>
    <row r="8" spans="2:24" ht="24.95" customHeight="1" thickBot="1">
      <c r="C8" s="118" t="s">
        <v>1508</v>
      </c>
      <c r="D8" s="111">
        <f t="shared" ref="D8:U8" si="2">D45</f>
        <v>125800</v>
      </c>
      <c r="E8" s="111">
        <f t="shared" si="2"/>
        <v>175707.01536111027</v>
      </c>
      <c r="F8" s="111">
        <f t="shared" si="2"/>
        <v>351398.53103390604</v>
      </c>
      <c r="G8" s="111">
        <f t="shared" si="2"/>
        <v>429908.36032028066</v>
      </c>
      <c r="H8" s="111">
        <f t="shared" si="2"/>
        <v>338946.38629607751</v>
      </c>
      <c r="I8" s="111">
        <f t="shared" si="2"/>
        <v>262395.37730526028</v>
      </c>
      <c r="J8" s="111">
        <f t="shared" si="2"/>
        <v>243727.47441566386</v>
      </c>
      <c r="K8" s="111">
        <f t="shared" si="2"/>
        <v>189219.93412906834</v>
      </c>
      <c r="L8" s="111">
        <f t="shared" si="2"/>
        <v>219517.57040428068</v>
      </c>
      <c r="M8" s="111">
        <f t="shared" si="2"/>
        <v>142374.2651866792</v>
      </c>
      <c r="N8" s="111">
        <f t="shared" si="2"/>
        <v>87524.185547673347</v>
      </c>
      <c r="O8" s="111">
        <f t="shared" si="2"/>
        <v>48347.9</v>
      </c>
      <c r="P8" s="111">
        <f t="shared" si="2"/>
        <v>8400</v>
      </c>
      <c r="Q8" s="111">
        <f t="shared" si="2"/>
        <v>0</v>
      </c>
      <c r="R8" s="111">
        <f t="shared" si="2"/>
        <v>0</v>
      </c>
      <c r="S8" s="111">
        <f t="shared" si="2"/>
        <v>0</v>
      </c>
      <c r="T8" s="111">
        <f t="shared" si="2"/>
        <v>0</v>
      </c>
      <c r="U8" s="111">
        <f t="shared" si="2"/>
        <v>0</v>
      </c>
      <c r="V8" s="112"/>
      <c r="W8" s="111">
        <f>SUM(D8:U8)</f>
        <v>2623267</v>
      </c>
    </row>
    <row r="9" spans="2:24" ht="24.95" customHeight="1" thickBot="1"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</row>
    <row r="10" spans="2:24" ht="24.95" customHeight="1" thickBot="1">
      <c r="C10" s="119" t="s">
        <v>1505</v>
      </c>
      <c r="D10" s="113">
        <f>D7-D8</f>
        <v>-125800</v>
      </c>
      <c r="E10" s="113">
        <f t="shared" ref="E10" si="3">E7-E8</f>
        <v>24292.984638889728</v>
      </c>
      <c r="F10" s="113">
        <f t="shared" ref="F10:U10" si="4">F7-F8</f>
        <v>-151398.53103390604</v>
      </c>
      <c r="G10" s="113">
        <f t="shared" si="4"/>
        <v>-29908.360320280655</v>
      </c>
      <c r="H10" s="113">
        <f t="shared" si="4"/>
        <v>261053.61370392249</v>
      </c>
      <c r="I10" s="113">
        <f t="shared" si="4"/>
        <v>337604.62269473972</v>
      </c>
      <c r="J10" s="113">
        <f t="shared" si="4"/>
        <v>156272.52558433614</v>
      </c>
      <c r="K10" s="113">
        <f t="shared" si="4"/>
        <v>10780.065870931663</v>
      </c>
      <c r="L10" s="113">
        <f t="shared" si="4"/>
        <v>-19517.570404280676</v>
      </c>
      <c r="M10" s="113">
        <f t="shared" si="4"/>
        <v>57625.7348133208</v>
      </c>
      <c r="N10" s="113">
        <f t="shared" si="4"/>
        <v>112475.81445232665</v>
      </c>
      <c r="O10" s="113">
        <f t="shared" si="4"/>
        <v>-48347.9</v>
      </c>
      <c r="P10" s="113">
        <f t="shared" si="4"/>
        <v>-8400</v>
      </c>
      <c r="Q10" s="113">
        <f t="shared" si="4"/>
        <v>0</v>
      </c>
      <c r="R10" s="113">
        <f t="shared" si="4"/>
        <v>0</v>
      </c>
      <c r="S10" s="113">
        <f t="shared" si="4"/>
        <v>0</v>
      </c>
      <c r="T10" s="113">
        <f t="shared" si="4"/>
        <v>0</v>
      </c>
      <c r="U10" s="113">
        <f t="shared" si="4"/>
        <v>0</v>
      </c>
      <c r="V10" s="112"/>
      <c r="W10" s="113">
        <f>SUM(D10:U10)</f>
        <v>576732.99999999977</v>
      </c>
    </row>
    <row r="11" spans="2:24" ht="24.95" customHeight="1" thickBot="1">
      <c r="C11" s="119" t="s">
        <v>1506</v>
      </c>
      <c r="D11" s="113">
        <f>D10</f>
        <v>-125800</v>
      </c>
      <c r="E11" s="113">
        <f>+E10+D11</f>
        <v>-101507.01536111027</v>
      </c>
      <c r="F11" s="113">
        <f t="shared" ref="F11:U11" si="5">+F10+E11</f>
        <v>-252905.54639501631</v>
      </c>
      <c r="G11" s="113">
        <f t="shared" si="5"/>
        <v>-282813.90671529697</v>
      </c>
      <c r="H11" s="113">
        <f t="shared" si="5"/>
        <v>-21760.293011374481</v>
      </c>
      <c r="I11" s="113">
        <f t="shared" si="5"/>
        <v>315844.32968336524</v>
      </c>
      <c r="J11" s="113">
        <f t="shared" si="5"/>
        <v>472116.85526770138</v>
      </c>
      <c r="K11" s="113">
        <f t="shared" si="5"/>
        <v>482896.92113863304</v>
      </c>
      <c r="L11" s="113">
        <f t="shared" si="5"/>
        <v>463379.35073435237</v>
      </c>
      <c r="M11" s="113">
        <f t="shared" si="5"/>
        <v>521005.08554767317</v>
      </c>
      <c r="N11" s="113">
        <f t="shared" si="5"/>
        <v>633480.89999999979</v>
      </c>
      <c r="O11" s="113">
        <f t="shared" si="5"/>
        <v>585132.99999999977</v>
      </c>
      <c r="P11" s="113">
        <f t="shared" si="5"/>
        <v>576732.99999999977</v>
      </c>
      <c r="Q11" s="113">
        <f t="shared" si="5"/>
        <v>576732.99999999977</v>
      </c>
      <c r="R11" s="113">
        <f t="shared" si="5"/>
        <v>576732.99999999977</v>
      </c>
      <c r="S11" s="113">
        <f t="shared" si="5"/>
        <v>576732.99999999977</v>
      </c>
      <c r="T11" s="113">
        <f t="shared" si="5"/>
        <v>576732.99999999977</v>
      </c>
      <c r="U11" s="113">
        <f t="shared" si="5"/>
        <v>576732.99999999977</v>
      </c>
      <c r="V11" s="112"/>
      <c r="W11"/>
    </row>
    <row r="12" spans="2:24" ht="24.95" customHeight="1">
      <c r="B12"/>
      <c r="C12" s="120"/>
      <c r="D12" s="1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</row>
    <row r="31" spans="31:33">
      <c r="AE31" s="236"/>
      <c r="AG31" s="237"/>
    </row>
    <row r="32" spans="31:33">
      <c r="AE32" s="236"/>
      <c r="AG32" s="237"/>
    </row>
    <row r="33" spans="2:33">
      <c r="AE33" s="236"/>
      <c r="AG33" s="237"/>
    </row>
    <row r="34" spans="2:33">
      <c r="AE34" s="236"/>
      <c r="AG34" s="237"/>
    </row>
    <row r="37" spans="2:33" ht="15.75" thickBot="1"/>
    <row r="38" spans="2:33" ht="24.95" customHeight="1" thickBot="1">
      <c r="C38" s="118" t="s">
        <v>1010</v>
      </c>
      <c r="D38" s="111">
        <v>0</v>
      </c>
      <c r="E38" s="111">
        <f>E39*E40</f>
        <v>200000</v>
      </c>
      <c r="F38" s="111">
        <f t="shared" ref="F38:U38" si="6">F39*F40</f>
        <v>200000</v>
      </c>
      <c r="G38" s="111">
        <f t="shared" si="6"/>
        <v>400000</v>
      </c>
      <c r="H38" s="111">
        <f t="shared" si="6"/>
        <v>600000</v>
      </c>
      <c r="I38" s="111">
        <f t="shared" si="6"/>
        <v>600000</v>
      </c>
      <c r="J38" s="111">
        <f t="shared" si="6"/>
        <v>400000</v>
      </c>
      <c r="K38" s="111">
        <f t="shared" si="6"/>
        <v>200000</v>
      </c>
      <c r="L38" s="111">
        <f t="shared" si="6"/>
        <v>200000</v>
      </c>
      <c r="M38" s="111">
        <f t="shared" si="6"/>
        <v>200000</v>
      </c>
      <c r="N38" s="111">
        <f t="shared" si="6"/>
        <v>200000</v>
      </c>
      <c r="O38" s="111">
        <f t="shared" si="6"/>
        <v>0</v>
      </c>
      <c r="P38" s="111">
        <f t="shared" si="6"/>
        <v>0</v>
      </c>
      <c r="Q38" s="111">
        <f t="shared" si="6"/>
        <v>0</v>
      </c>
      <c r="R38" s="111">
        <f t="shared" si="6"/>
        <v>0</v>
      </c>
      <c r="S38" s="111">
        <f t="shared" si="6"/>
        <v>0</v>
      </c>
      <c r="T38" s="111">
        <f t="shared" si="6"/>
        <v>0</v>
      </c>
      <c r="U38" s="111">
        <f t="shared" si="6"/>
        <v>0</v>
      </c>
      <c r="W38" s="150">
        <f>SUM(D38:U38)</f>
        <v>3200000</v>
      </c>
      <c r="X38" s="149"/>
      <c r="Y38" s="35"/>
    </row>
    <row r="39" spans="2:33" ht="24.95" customHeight="1" thickBot="1">
      <c r="C39" s="122" t="s">
        <v>1015</v>
      </c>
      <c r="D39" s="123">
        <v>0</v>
      </c>
      <c r="E39" s="123">
        <v>1</v>
      </c>
      <c r="F39" s="123">
        <v>1</v>
      </c>
      <c r="G39" s="123">
        <v>2</v>
      </c>
      <c r="H39" s="123">
        <v>3</v>
      </c>
      <c r="I39" s="123">
        <v>3</v>
      </c>
      <c r="J39" s="123">
        <v>2</v>
      </c>
      <c r="K39" s="123">
        <v>1</v>
      </c>
      <c r="L39" s="123">
        <v>1</v>
      </c>
      <c r="M39" s="123">
        <v>1</v>
      </c>
      <c r="N39" s="123">
        <v>1</v>
      </c>
      <c r="O39" s="123"/>
      <c r="P39" s="123"/>
      <c r="Q39" s="123"/>
      <c r="R39" s="123"/>
      <c r="S39" s="123"/>
      <c r="T39" s="123"/>
      <c r="U39" s="123"/>
      <c r="W39" s="151">
        <f>SUM(D39:U39)</f>
        <v>16</v>
      </c>
    </row>
    <row r="40" spans="2:33" ht="30" customHeight="1" thickBot="1">
      <c r="C40" s="124" t="s">
        <v>1016</v>
      </c>
      <c r="D40" s="125">
        <v>0</v>
      </c>
      <c r="E40" s="125">
        <v>200000</v>
      </c>
      <c r="F40" s="125">
        <v>200000</v>
      </c>
      <c r="G40" s="125">
        <v>200000</v>
      </c>
      <c r="H40" s="125">
        <v>200000</v>
      </c>
      <c r="I40" s="125">
        <v>200000</v>
      </c>
      <c r="J40" s="125">
        <v>200000</v>
      </c>
      <c r="K40" s="125">
        <v>200000</v>
      </c>
      <c r="L40" s="125">
        <v>200000</v>
      </c>
      <c r="M40" s="125">
        <v>200000</v>
      </c>
      <c r="N40" s="125">
        <v>200000</v>
      </c>
      <c r="O40" s="125">
        <v>200000</v>
      </c>
      <c r="P40" s="125">
        <v>200000</v>
      </c>
      <c r="Q40" s="125">
        <v>200000</v>
      </c>
      <c r="R40" s="125">
        <v>200000</v>
      </c>
      <c r="S40" s="125">
        <v>200000</v>
      </c>
      <c r="T40" s="125">
        <v>200000</v>
      </c>
      <c r="U40" s="125">
        <v>200000</v>
      </c>
      <c r="W40" s="152"/>
    </row>
    <row r="41" spans="2:33">
      <c r="W41" s="153"/>
    </row>
    <row r="42" spans="2:33">
      <c r="W42" s="153"/>
    </row>
    <row r="43" spans="2:33" ht="15.75" thickBot="1">
      <c r="W43" s="153"/>
    </row>
    <row r="44" spans="2:33" ht="15.75" thickBot="1">
      <c r="D44" s="107">
        <v>44378</v>
      </c>
      <c r="E44" s="107">
        <v>44409</v>
      </c>
      <c r="F44" s="107">
        <v>44440</v>
      </c>
      <c r="G44" s="107">
        <v>44470</v>
      </c>
      <c r="H44" s="107">
        <v>44501</v>
      </c>
      <c r="I44" s="107">
        <v>44531</v>
      </c>
      <c r="J44" s="107">
        <v>44562</v>
      </c>
      <c r="K44" s="107">
        <v>44593</v>
      </c>
      <c r="L44" s="107">
        <v>44621</v>
      </c>
      <c r="M44" s="107">
        <v>44652</v>
      </c>
      <c r="N44" s="107">
        <v>44682</v>
      </c>
      <c r="O44" s="107">
        <v>44713</v>
      </c>
      <c r="P44" s="107">
        <v>44743</v>
      </c>
      <c r="Q44" s="107">
        <v>44774</v>
      </c>
      <c r="R44" s="107">
        <v>44805</v>
      </c>
      <c r="S44" s="107">
        <v>44835</v>
      </c>
      <c r="T44" s="107">
        <v>44866</v>
      </c>
      <c r="U44" s="107">
        <v>44896</v>
      </c>
      <c r="V44" s="105"/>
      <c r="W44" s="107" t="s">
        <v>1012</v>
      </c>
    </row>
    <row r="45" spans="2:33" ht="24.95" customHeight="1" thickBot="1">
      <c r="C45" s="118" t="s">
        <v>1011</v>
      </c>
      <c r="D45" s="111">
        <f>D47+D48+D50++D52+D56+D53+D54+D55+D49</f>
        <v>125800</v>
      </c>
      <c r="E45" s="111">
        <f t="shared" ref="E45:U45" si="7">E47+E48+E50++E52+E56+E53+E54+E55+E49</f>
        <v>175707.01536111027</v>
      </c>
      <c r="F45" s="111">
        <f t="shared" si="7"/>
        <v>351398.53103390604</v>
      </c>
      <c r="G45" s="111">
        <f t="shared" si="7"/>
        <v>429908.36032028066</v>
      </c>
      <c r="H45" s="111">
        <f t="shared" si="7"/>
        <v>338946.38629607751</v>
      </c>
      <c r="I45" s="111">
        <f t="shared" si="7"/>
        <v>262395.37730526028</v>
      </c>
      <c r="J45" s="111">
        <f t="shared" si="7"/>
        <v>243727.47441566386</v>
      </c>
      <c r="K45" s="111">
        <f t="shared" si="7"/>
        <v>189219.93412906834</v>
      </c>
      <c r="L45" s="111">
        <f t="shared" si="7"/>
        <v>219517.57040428068</v>
      </c>
      <c r="M45" s="111">
        <f t="shared" si="7"/>
        <v>142374.2651866792</v>
      </c>
      <c r="N45" s="111">
        <f t="shared" si="7"/>
        <v>87524.185547673347</v>
      </c>
      <c r="O45" s="111">
        <f t="shared" si="7"/>
        <v>48347.9</v>
      </c>
      <c r="P45" s="111">
        <f t="shared" si="7"/>
        <v>8400</v>
      </c>
      <c r="Q45" s="111">
        <f t="shared" si="7"/>
        <v>0</v>
      </c>
      <c r="R45" s="111">
        <f t="shared" si="7"/>
        <v>0</v>
      </c>
      <c r="S45" s="111">
        <f t="shared" si="7"/>
        <v>0</v>
      </c>
      <c r="T45" s="111">
        <f t="shared" si="7"/>
        <v>0</v>
      </c>
      <c r="U45" s="111">
        <f t="shared" si="7"/>
        <v>0</v>
      </c>
      <c r="W45" s="150">
        <f>W47+W48+W49+W50+W52+W53+W54+W55+W56</f>
        <v>2623267</v>
      </c>
    </row>
    <row r="46" spans="2:33" ht="9.75" customHeight="1" thickBot="1">
      <c r="C46" s="115"/>
      <c r="W46" s="153"/>
    </row>
    <row r="47" spans="2:33" ht="24.95" customHeight="1" thickBot="1">
      <c r="B47" s="239" t="s">
        <v>1521</v>
      </c>
      <c r="C47" s="122" t="s">
        <v>1509</v>
      </c>
      <c r="D47" s="125">
        <v>125800</v>
      </c>
      <c r="E47" s="125">
        <v>5000</v>
      </c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12"/>
      <c r="W47" s="168">
        <f t="shared" ref="W47:W50" si="8">SUM(D47:U47)</f>
        <v>130800</v>
      </c>
    </row>
    <row r="48" spans="2:33" ht="24.95" customHeight="1" thickBot="1">
      <c r="B48" s="239"/>
      <c r="C48" s="122" t="s">
        <v>1510</v>
      </c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>
        <v>3600</v>
      </c>
      <c r="P48" s="125">
        <v>7400</v>
      </c>
      <c r="Q48" s="125"/>
      <c r="R48" s="125"/>
      <c r="S48" s="125"/>
      <c r="T48" s="125"/>
      <c r="U48" s="125"/>
      <c r="V48" s="112"/>
      <c r="W48" s="168">
        <f t="shared" si="8"/>
        <v>11000</v>
      </c>
    </row>
    <row r="49" spans="2:24" ht="24.95" customHeight="1" thickBot="1">
      <c r="B49" s="239"/>
      <c r="C49" s="122" t="s">
        <v>1525</v>
      </c>
      <c r="D49" s="125"/>
      <c r="E49" s="125">
        <f>97900/11</f>
        <v>8900</v>
      </c>
      <c r="F49" s="125">
        <v>8900</v>
      </c>
      <c r="G49" s="125">
        <v>8900</v>
      </c>
      <c r="H49" s="125">
        <v>8900</v>
      </c>
      <c r="I49" s="125">
        <v>8900</v>
      </c>
      <c r="J49" s="125">
        <v>8900</v>
      </c>
      <c r="K49" s="125">
        <v>8900</v>
      </c>
      <c r="L49" s="125">
        <v>8900</v>
      </c>
      <c r="M49" s="125">
        <v>8900</v>
      </c>
      <c r="N49" s="125">
        <v>8900</v>
      </c>
      <c r="O49" s="125">
        <v>8900</v>
      </c>
      <c r="P49" s="125"/>
      <c r="Q49" s="125"/>
      <c r="R49" s="125"/>
      <c r="S49" s="125"/>
      <c r="T49" s="125"/>
      <c r="U49" s="125"/>
      <c r="V49" s="112"/>
      <c r="W49" s="168">
        <f t="shared" si="8"/>
        <v>97900</v>
      </c>
    </row>
    <row r="50" spans="2:24" ht="24.95" customHeight="1" thickBot="1">
      <c r="B50" s="239"/>
      <c r="C50" s="122" t="s">
        <v>1511</v>
      </c>
      <c r="D50" s="169">
        <f t="shared" ref="D50:U50" si="9">$X$50*D39</f>
        <v>0</v>
      </c>
      <c r="E50" s="125">
        <f t="shared" si="9"/>
        <v>31200</v>
      </c>
      <c r="F50" s="125">
        <f t="shared" si="9"/>
        <v>31200</v>
      </c>
      <c r="G50" s="125">
        <f t="shared" si="9"/>
        <v>62400</v>
      </c>
      <c r="H50" s="125">
        <f t="shared" si="9"/>
        <v>93600</v>
      </c>
      <c r="I50" s="125">
        <f t="shared" si="9"/>
        <v>93600</v>
      </c>
      <c r="J50" s="125">
        <f t="shared" si="9"/>
        <v>62400</v>
      </c>
      <c r="K50" s="125">
        <f t="shared" si="9"/>
        <v>31200</v>
      </c>
      <c r="L50" s="125">
        <f t="shared" si="9"/>
        <v>31200</v>
      </c>
      <c r="M50" s="125">
        <f t="shared" si="9"/>
        <v>31200</v>
      </c>
      <c r="N50" s="125">
        <f t="shared" si="9"/>
        <v>31200</v>
      </c>
      <c r="O50" s="125">
        <f t="shared" si="9"/>
        <v>0</v>
      </c>
      <c r="P50" s="125">
        <f t="shared" si="9"/>
        <v>0</v>
      </c>
      <c r="Q50" s="125">
        <f t="shared" si="9"/>
        <v>0</v>
      </c>
      <c r="R50" s="125">
        <f t="shared" si="9"/>
        <v>0</v>
      </c>
      <c r="S50" s="125">
        <f t="shared" si="9"/>
        <v>0</v>
      </c>
      <c r="T50" s="125">
        <f t="shared" si="9"/>
        <v>0</v>
      </c>
      <c r="U50" s="125">
        <f t="shared" si="9"/>
        <v>0</v>
      </c>
      <c r="V50" s="112"/>
      <c r="W50" s="168">
        <f t="shared" si="8"/>
        <v>499200</v>
      </c>
      <c r="X50" s="167">
        <v>31200</v>
      </c>
    </row>
    <row r="51" spans="2:24" ht="15.75" thickBot="1">
      <c r="D51" s="170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71"/>
    </row>
    <row r="52" spans="2:24" ht="24.95" customHeight="1" thickBot="1">
      <c r="B52" s="238" t="s">
        <v>1520</v>
      </c>
      <c r="C52" s="122" t="s">
        <v>1516</v>
      </c>
      <c r="D52" s="125"/>
      <c r="E52" s="125">
        <v>79987.015361110258</v>
      </c>
      <c r="F52" s="125">
        <v>275678.53103390604</v>
      </c>
      <c r="G52" s="125">
        <v>327088.36032028066</v>
      </c>
      <c r="H52" s="125">
        <v>204926.38629607751</v>
      </c>
      <c r="I52" s="125">
        <v>128825.37730526025</v>
      </c>
      <c r="J52" s="125">
        <v>140207.47441566386</v>
      </c>
      <c r="K52" s="125">
        <v>121149.93412906835</v>
      </c>
      <c r="L52" s="125">
        <v>151247.57040428068</v>
      </c>
      <c r="M52" s="125">
        <v>75204.2651866792</v>
      </c>
      <c r="N52" s="125">
        <v>20954.185547673354</v>
      </c>
      <c r="O52" s="125">
        <v>9377.9</v>
      </c>
      <c r="P52" s="125"/>
      <c r="Q52" s="125"/>
      <c r="R52" s="125"/>
      <c r="S52" s="125"/>
      <c r="T52" s="125"/>
      <c r="U52" s="125"/>
      <c r="V52" s="112"/>
      <c r="W52" s="168">
        <f t="shared" ref="W52:W56" si="10">SUM(D52:U52)</f>
        <v>1534647.0000000002</v>
      </c>
    </row>
    <row r="53" spans="2:24" ht="24.95" customHeight="1" thickBot="1">
      <c r="B53" s="238"/>
      <c r="C53" s="122" t="s">
        <v>1509</v>
      </c>
      <c r="D53" s="125"/>
      <c r="E53" s="125">
        <v>18500</v>
      </c>
      <c r="F53" s="125">
        <v>1000</v>
      </c>
      <c r="G53" s="125"/>
      <c r="H53" s="125"/>
      <c r="I53" s="125"/>
      <c r="J53" s="125">
        <f>250</f>
        <v>250</v>
      </c>
      <c r="K53" s="125"/>
      <c r="L53" s="125">
        <v>1200</v>
      </c>
      <c r="M53" s="125"/>
      <c r="N53" s="125"/>
      <c r="O53" s="125"/>
      <c r="P53" s="125"/>
      <c r="Q53" s="125"/>
      <c r="R53" s="125"/>
      <c r="S53" s="125"/>
      <c r="T53" s="125"/>
      <c r="U53" s="125"/>
      <c r="V53" s="112"/>
      <c r="W53" s="168">
        <f t="shared" si="10"/>
        <v>20950</v>
      </c>
    </row>
    <row r="54" spans="2:24" ht="24.95" customHeight="1" thickBot="1">
      <c r="B54" s="238"/>
      <c r="C54" s="122" t="s">
        <v>1510</v>
      </c>
      <c r="D54" s="125"/>
      <c r="E54" s="125"/>
      <c r="F54" s="125">
        <v>1000</v>
      </c>
      <c r="G54" s="125"/>
      <c r="H54" s="125"/>
      <c r="I54" s="125"/>
      <c r="J54" s="125">
        <v>1000</v>
      </c>
      <c r="K54" s="125"/>
      <c r="L54" s="125"/>
      <c r="M54" s="125">
        <v>100</v>
      </c>
      <c r="N54" s="125"/>
      <c r="O54" s="125"/>
      <c r="P54" s="125">
        <v>1000</v>
      </c>
      <c r="Q54" s="125"/>
      <c r="R54" s="125"/>
      <c r="S54" s="125"/>
      <c r="T54" s="125"/>
      <c r="U54" s="125"/>
      <c r="V54" s="112"/>
      <c r="W54" s="168">
        <f t="shared" si="10"/>
        <v>3100</v>
      </c>
    </row>
    <row r="55" spans="2:24" ht="24.95" customHeight="1" thickBot="1">
      <c r="B55" s="238"/>
      <c r="C55" s="122" t="s">
        <v>1525</v>
      </c>
      <c r="D55" s="125"/>
      <c r="E55" s="125">
        <f>291170/11</f>
        <v>26470</v>
      </c>
      <c r="F55" s="125">
        <v>26470</v>
      </c>
      <c r="G55" s="125">
        <v>26470</v>
      </c>
      <c r="H55" s="125">
        <v>26470</v>
      </c>
      <c r="I55" s="125">
        <v>26470</v>
      </c>
      <c r="J55" s="125">
        <v>26470</v>
      </c>
      <c r="K55" s="125">
        <v>26470</v>
      </c>
      <c r="L55" s="125">
        <v>26470</v>
      </c>
      <c r="M55" s="125">
        <v>26470</v>
      </c>
      <c r="N55" s="125">
        <v>26470</v>
      </c>
      <c r="O55" s="125">
        <v>26470</v>
      </c>
      <c r="P55" s="125"/>
      <c r="Q55" s="125"/>
      <c r="R55" s="125"/>
      <c r="S55" s="125"/>
      <c r="T55" s="125"/>
      <c r="U55" s="125"/>
      <c r="V55" s="112"/>
      <c r="W55" s="168">
        <f t="shared" si="10"/>
        <v>291170</v>
      </c>
    </row>
    <row r="56" spans="2:24" ht="24.95" customHeight="1" thickBot="1">
      <c r="B56" s="238"/>
      <c r="C56" s="122" t="s">
        <v>1524</v>
      </c>
      <c r="D56" s="125"/>
      <c r="E56" s="125">
        <v>5650</v>
      </c>
      <c r="F56" s="125">
        <v>7150</v>
      </c>
      <c r="G56" s="125">
        <v>5050</v>
      </c>
      <c r="H56" s="125">
        <v>5050</v>
      </c>
      <c r="I56" s="125">
        <v>4600</v>
      </c>
      <c r="J56" s="125">
        <v>4500</v>
      </c>
      <c r="K56" s="125">
        <v>1500</v>
      </c>
      <c r="L56" s="125">
        <v>500</v>
      </c>
      <c r="M56" s="125">
        <v>500</v>
      </c>
      <c r="N56" s="125">
        <v>0</v>
      </c>
      <c r="O56" s="125">
        <v>0</v>
      </c>
      <c r="P56" s="125"/>
      <c r="Q56" s="125"/>
      <c r="R56" s="125"/>
      <c r="S56" s="125"/>
      <c r="T56" s="125"/>
      <c r="U56" s="125"/>
      <c r="V56" s="112"/>
      <c r="W56" s="168">
        <f t="shared" si="10"/>
        <v>34500</v>
      </c>
    </row>
  </sheetData>
  <mergeCells count="4">
    <mergeCell ref="AE31:AE34"/>
    <mergeCell ref="AG31:AG34"/>
    <mergeCell ref="B52:B56"/>
    <mergeCell ref="B47:B5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04ADD-D4DF-4194-94A8-4CF1D336DD29}">
  <dimension ref="B1:AB49"/>
  <sheetViews>
    <sheetView zoomScale="85" zoomScaleNormal="85" workbookViewId="0">
      <selection activeCell="R39" sqref="R39"/>
    </sheetView>
  </sheetViews>
  <sheetFormatPr defaultRowHeight="15"/>
  <cols>
    <col min="2" max="2" width="11.28515625" customWidth="1"/>
    <col min="4" max="4" width="11.28515625" customWidth="1"/>
    <col min="5" max="5" width="9.140625" style="1"/>
    <col min="6" max="6" width="13.42578125" customWidth="1"/>
    <col min="7" max="7" width="9.140625" style="34"/>
  </cols>
  <sheetData>
    <row r="1" spans="2:7">
      <c r="B1" s="92" t="s">
        <v>1002</v>
      </c>
    </row>
    <row r="4" spans="2:7">
      <c r="B4" s="240" t="s">
        <v>994</v>
      </c>
      <c r="C4" s="240"/>
      <c r="D4" s="48">
        <v>44424</v>
      </c>
      <c r="F4" s="89" t="s">
        <v>995</v>
      </c>
      <c r="G4" s="91">
        <f>D5-D4</f>
        <v>291</v>
      </c>
    </row>
    <row r="5" spans="2:7">
      <c r="B5" s="240" t="s">
        <v>993</v>
      </c>
      <c r="C5" s="240"/>
      <c r="D5" s="48">
        <v>44715</v>
      </c>
      <c r="G5" s="34">
        <f ca="1">D6-D4</f>
        <v>112</v>
      </c>
    </row>
    <row r="6" spans="2:7">
      <c r="B6" s="240" t="s">
        <v>992</v>
      </c>
      <c r="C6" s="240"/>
      <c r="D6" s="48">
        <f ca="1">TODAY()</f>
        <v>44536</v>
      </c>
      <c r="F6" s="89" t="s">
        <v>996</v>
      </c>
      <c r="G6" s="34">
        <f ca="1">G4-G5</f>
        <v>179</v>
      </c>
    </row>
    <row r="9" spans="2:7">
      <c r="B9" s="89" t="s">
        <v>988</v>
      </c>
      <c r="E9" s="37">
        <f ca="1">G5/G4</f>
        <v>0.38487972508591067</v>
      </c>
    </row>
    <row r="15" spans="2:7">
      <c r="B15" s="89" t="s">
        <v>989</v>
      </c>
    </row>
    <row r="17" spans="2:28">
      <c r="B17" t="s">
        <v>997</v>
      </c>
    </row>
    <row r="18" spans="2:28">
      <c r="B18" t="s">
        <v>998</v>
      </c>
    </row>
    <row r="19" spans="2:28">
      <c r="B19" t="s">
        <v>1000</v>
      </c>
    </row>
    <row r="21" spans="2:28">
      <c r="B21" s="2" t="s">
        <v>999</v>
      </c>
      <c r="C21" s="1" t="e">
        <f>C18/C17</f>
        <v>#DIV/0!</v>
      </c>
    </row>
    <row r="23" spans="2:28">
      <c r="B23" t="s">
        <v>1001</v>
      </c>
    </row>
    <row r="32" spans="2:28">
      <c r="AB32" t="s">
        <v>1008</v>
      </c>
    </row>
    <row r="40" spans="10:10">
      <c r="J40" t="s">
        <v>990</v>
      </c>
    </row>
    <row r="49" spans="10:10">
      <c r="J49" t="s">
        <v>991</v>
      </c>
    </row>
  </sheetData>
  <mergeCells count="3">
    <mergeCell ref="B6:C6"/>
    <mergeCell ref="B4:C4"/>
    <mergeCell ref="B5:C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740C0-F8F5-4867-A552-830F5661684E}">
  <dimension ref="A1:J1048576"/>
  <sheetViews>
    <sheetView topLeftCell="A292" zoomScale="85" zoomScaleNormal="85" workbookViewId="0">
      <selection activeCell="J1" sqref="J1:J1048576"/>
    </sheetView>
  </sheetViews>
  <sheetFormatPr defaultRowHeight="15" zeroHeight="1"/>
  <cols>
    <col min="1" max="1" width="9.140625" style="1"/>
    <col min="2" max="2" width="12.42578125" style="1" customWidth="1"/>
    <col min="3" max="3" width="15.7109375" style="1" customWidth="1"/>
    <col min="4" max="4" width="35.5703125" style="1" customWidth="1"/>
    <col min="5" max="5" width="76.85546875" customWidth="1"/>
    <col min="6" max="6" width="9.140625" style="128"/>
    <col min="7" max="7" width="10.5703125" style="1" customWidth="1"/>
    <col min="8" max="8" width="13.85546875" style="128" customWidth="1"/>
    <col min="9" max="9" width="15.85546875" style="137" customWidth="1"/>
    <col min="10" max="10" width="13.85546875" style="8" customWidth="1"/>
  </cols>
  <sheetData>
    <row r="1" spans="1:10" ht="15.75" thickBot="1">
      <c r="A1" s="1" t="s">
        <v>1029</v>
      </c>
      <c r="B1" s="1" t="s">
        <v>1030</v>
      </c>
      <c r="C1" s="1" t="s">
        <v>1028</v>
      </c>
      <c r="D1" s="1" t="s">
        <v>1020</v>
      </c>
      <c r="E1" t="s">
        <v>1027</v>
      </c>
      <c r="F1" s="128" t="s">
        <v>1026</v>
      </c>
      <c r="G1" s="1" t="s">
        <v>1025</v>
      </c>
      <c r="H1" s="128" t="s">
        <v>1024</v>
      </c>
      <c r="I1" s="137" t="s">
        <v>1023</v>
      </c>
      <c r="J1" s="133" t="s">
        <v>1031</v>
      </c>
    </row>
    <row r="2" spans="1:10" ht="15.75" thickBot="1">
      <c r="A2" s="118">
        <v>-1</v>
      </c>
      <c r="B2" s="108" t="s">
        <v>1020</v>
      </c>
      <c r="C2" s="108">
        <v>1</v>
      </c>
      <c r="D2" s="108"/>
      <c r="E2" s="118" t="s">
        <v>1017</v>
      </c>
      <c r="F2" s="129">
        <v>74.739999999999995</v>
      </c>
      <c r="G2" s="108" t="s">
        <v>1</v>
      </c>
      <c r="H2" s="129">
        <v>36.4</v>
      </c>
      <c r="I2" s="138">
        <v>2721</v>
      </c>
      <c r="J2" s="110"/>
    </row>
    <row r="3" spans="1:10" ht="15.75" thickBot="1">
      <c r="A3" s="122" t="s">
        <v>2</v>
      </c>
      <c r="B3" s="123" t="s">
        <v>1022</v>
      </c>
      <c r="C3" s="123" t="s">
        <v>3</v>
      </c>
      <c r="D3" s="123" t="s">
        <v>1017</v>
      </c>
      <c r="E3" s="122" t="s">
        <v>4</v>
      </c>
      <c r="F3" s="130">
        <v>74.739999999999995</v>
      </c>
      <c r="G3" s="123" t="s">
        <v>5</v>
      </c>
      <c r="H3" s="130">
        <v>15.83</v>
      </c>
      <c r="I3" s="139">
        <v>1183</v>
      </c>
      <c r="J3" s="134"/>
    </row>
    <row r="4" spans="1:10" s="126" customFormat="1" ht="12.75">
      <c r="A4" s="126" t="s">
        <v>6</v>
      </c>
      <c r="B4" s="127" t="s">
        <v>1021</v>
      </c>
      <c r="C4" s="127">
        <v>10567</v>
      </c>
      <c r="D4" s="127" t="s">
        <v>1017</v>
      </c>
      <c r="E4" s="126" t="s">
        <v>7</v>
      </c>
      <c r="F4" s="132">
        <v>41.11</v>
      </c>
      <c r="G4" s="127" t="s">
        <v>5</v>
      </c>
      <c r="H4" s="132">
        <v>5.71</v>
      </c>
      <c r="I4" s="140">
        <v>235</v>
      </c>
      <c r="J4" s="135" t="s">
        <v>1018</v>
      </c>
    </row>
    <row r="5" spans="1:10" s="126" customFormat="1" ht="12.75">
      <c r="A5" s="126" t="s">
        <v>8</v>
      </c>
      <c r="B5" s="127" t="s">
        <v>1021</v>
      </c>
      <c r="C5" s="127">
        <v>4417</v>
      </c>
      <c r="D5" s="127" t="s">
        <v>1017</v>
      </c>
      <c r="E5" s="126" t="s">
        <v>9</v>
      </c>
      <c r="F5" s="132">
        <v>55.64</v>
      </c>
      <c r="G5" s="127" t="s">
        <v>5</v>
      </c>
      <c r="H5" s="132">
        <v>4.32</v>
      </c>
      <c r="I5" s="140">
        <v>240</v>
      </c>
      <c r="J5" s="135" t="s">
        <v>1018</v>
      </c>
    </row>
    <row r="6" spans="1:10" s="126" customFormat="1" ht="12.75">
      <c r="A6" s="126" t="s">
        <v>10</v>
      </c>
      <c r="B6" s="127" t="s">
        <v>1021</v>
      </c>
      <c r="C6" s="127">
        <v>4433</v>
      </c>
      <c r="D6" s="127" t="s">
        <v>1017</v>
      </c>
      <c r="E6" s="126" t="s">
        <v>11</v>
      </c>
      <c r="F6" s="132">
        <v>30.83</v>
      </c>
      <c r="G6" s="127" t="s">
        <v>5</v>
      </c>
      <c r="H6" s="132">
        <v>15.54</v>
      </c>
      <c r="I6" s="140">
        <v>479</v>
      </c>
      <c r="J6" s="135" t="s">
        <v>1018</v>
      </c>
    </row>
    <row r="7" spans="1:10" s="126" customFormat="1" ht="12.75">
      <c r="A7" s="126" t="s">
        <v>12</v>
      </c>
      <c r="B7" s="127" t="s">
        <v>1021</v>
      </c>
      <c r="C7" s="127">
        <v>5068</v>
      </c>
      <c r="D7" s="127" t="s">
        <v>1017</v>
      </c>
      <c r="E7" s="126" t="s">
        <v>13</v>
      </c>
      <c r="F7" s="132">
        <v>8.3000000000000007</v>
      </c>
      <c r="G7" s="127" t="s">
        <v>14</v>
      </c>
      <c r="H7" s="132">
        <v>21.7</v>
      </c>
      <c r="I7" s="140">
        <v>180</v>
      </c>
      <c r="J7" s="135" t="s">
        <v>1018</v>
      </c>
    </row>
    <row r="8" spans="1:10" s="126" customFormat="1" ht="13.5" thickBot="1">
      <c r="A8" s="126" t="s">
        <v>15</v>
      </c>
      <c r="B8" s="127" t="s">
        <v>1021</v>
      </c>
      <c r="C8" s="127">
        <v>7356</v>
      </c>
      <c r="D8" s="127" t="s">
        <v>1017</v>
      </c>
      <c r="E8" s="126" t="s">
        <v>16</v>
      </c>
      <c r="F8" s="132">
        <v>1.91</v>
      </c>
      <c r="G8" s="127" t="s">
        <v>17</v>
      </c>
      <c r="H8" s="132">
        <v>25.53</v>
      </c>
      <c r="I8" s="140">
        <v>49</v>
      </c>
      <c r="J8" s="135" t="s">
        <v>1018</v>
      </c>
    </row>
    <row r="9" spans="1:10" ht="15.75" thickBot="1">
      <c r="A9" s="122" t="s">
        <v>18</v>
      </c>
      <c r="B9" s="123" t="s">
        <v>1022</v>
      </c>
      <c r="C9" s="123" t="s">
        <v>19</v>
      </c>
      <c r="D9" s="123" t="s">
        <v>1017</v>
      </c>
      <c r="E9" s="122" t="s">
        <v>20</v>
      </c>
      <c r="F9" s="130">
        <v>74.739999999999995</v>
      </c>
      <c r="G9" s="123" t="s">
        <v>1</v>
      </c>
      <c r="H9" s="130">
        <v>20.57</v>
      </c>
      <c r="I9" s="139">
        <v>1537</v>
      </c>
      <c r="J9" s="134"/>
    </row>
    <row r="10" spans="1:10" s="126" customFormat="1" ht="12.75">
      <c r="A10" s="126" t="s">
        <v>21</v>
      </c>
      <c r="B10" s="127" t="s">
        <v>1021</v>
      </c>
      <c r="C10" s="127" t="s">
        <v>22</v>
      </c>
      <c r="D10" s="127" t="s">
        <v>1017</v>
      </c>
      <c r="E10" s="126" t="s">
        <v>23</v>
      </c>
      <c r="F10" s="132">
        <v>74.739999999999995</v>
      </c>
      <c r="G10" s="127" t="s">
        <v>24</v>
      </c>
      <c r="H10" s="132">
        <v>4.3600000000000003</v>
      </c>
      <c r="I10" s="140">
        <v>326</v>
      </c>
      <c r="J10" s="135" t="s">
        <v>1019</v>
      </c>
    </row>
    <row r="11" spans="1:10" s="126" customFormat="1" ht="12.75">
      <c r="A11" s="126" t="s">
        <v>25</v>
      </c>
      <c r="B11" s="127" t="s">
        <v>1021</v>
      </c>
      <c r="C11" s="127">
        <v>1213</v>
      </c>
      <c r="D11" s="127" t="s">
        <v>1017</v>
      </c>
      <c r="E11" s="126" t="s">
        <v>26</v>
      </c>
      <c r="F11" s="132">
        <v>40</v>
      </c>
      <c r="G11" s="127" t="s">
        <v>1</v>
      </c>
      <c r="H11" s="132">
        <v>16.95</v>
      </c>
      <c r="I11" s="140">
        <v>678</v>
      </c>
      <c r="J11" s="135" t="s">
        <v>1019</v>
      </c>
    </row>
    <row r="12" spans="1:10" s="126" customFormat="1" ht="13.5" thickBot="1">
      <c r="A12" s="126" t="s">
        <v>27</v>
      </c>
      <c r="B12" s="127" t="s">
        <v>1021</v>
      </c>
      <c r="C12" s="127">
        <v>6117</v>
      </c>
      <c r="D12" s="127" t="s">
        <v>1017</v>
      </c>
      <c r="E12" s="126" t="s">
        <v>28</v>
      </c>
      <c r="F12" s="132">
        <v>40</v>
      </c>
      <c r="G12" s="127" t="s">
        <v>1</v>
      </c>
      <c r="H12" s="132">
        <v>13.34</v>
      </c>
      <c r="I12" s="140">
        <v>534</v>
      </c>
      <c r="J12" s="135" t="s">
        <v>1019</v>
      </c>
    </row>
    <row r="13" spans="1:10" ht="15.75" thickBot="1">
      <c r="A13" s="118">
        <v>-2</v>
      </c>
      <c r="B13" s="108" t="s">
        <v>1020</v>
      </c>
      <c r="C13" s="108">
        <v>2</v>
      </c>
      <c r="D13" s="108"/>
      <c r="E13" s="118" t="s">
        <v>29</v>
      </c>
      <c r="F13" s="129">
        <v>1</v>
      </c>
      <c r="G13" s="108" t="s">
        <v>30</v>
      </c>
      <c r="H13" s="129">
        <v>34356.19</v>
      </c>
      <c r="I13" s="138">
        <v>34356</v>
      </c>
      <c r="J13" s="110"/>
    </row>
    <row r="14" spans="1:10" ht="15.75" thickBot="1">
      <c r="A14" s="122" t="s">
        <v>31</v>
      </c>
      <c r="B14" s="123" t="s">
        <v>1022</v>
      </c>
      <c r="C14" s="123" t="s">
        <v>32</v>
      </c>
      <c r="D14" s="123" t="s">
        <v>29</v>
      </c>
      <c r="E14" s="122" t="s">
        <v>33</v>
      </c>
      <c r="F14" s="130">
        <v>14.82</v>
      </c>
      <c r="G14" s="123" t="s">
        <v>34</v>
      </c>
      <c r="H14" s="130">
        <v>716.67</v>
      </c>
      <c r="I14" s="139">
        <v>10622</v>
      </c>
      <c r="J14" s="134"/>
    </row>
    <row r="15" spans="1:10" s="126" customFormat="1" ht="13.5" thickBot="1">
      <c r="A15" s="126" t="s">
        <v>35</v>
      </c>
      <c r="B15" s="127" t="s">
        <v>1021</v>
      </c>
      <c r="C15" s="127">
        <v>43360</v>
      </c>
      <c r="D15" s="127" t="s">
        <v>29</v>
      </c>
      <c r="E15" s="126" t="s">
        <v>36</v>
      </c>
      <c r="F15" s="132">
        <v>23.71</v>
      </c>
      <c r="G15" s="127" t="s">
        <v>34</v>
      </c>
      <c r="H15" s="132">
        <v>447.92</v>
      </c>
      <c r="I15" s="140">
        <v>10622</v>
      </c>
      <c r="J15" s="135" t="s">
        <v>1019</v>
      </c>
    </row>
    <row r="16" spans="1:10" ht="15.75" thickBot="1">
      <c r="A16" s="122" t="s">
        <v>37</v>
      </c>
      <c r="B16" s="123" t="s">
        <v>1022</v>
      </c>
      <c r="C16" s="123" t="s">
        <v>38</v>
      </c>
      <c r="D16" s="123" t="s">
        <v>29</v>
      </c>
      <c r="E16" s="122" t="s">
        <v>39</v>
      </c>
      <c r="F16" s="130">
        <v>518.76</v>
      </c>
      <c r="G16" s="123" t="s">
        <v>14</v>
      </c>
      <c r="H16" s="130">
        <v>13.94</v>
      </c>
      <c r="I16" s="139">
        <v>7234</v>
      </c>
      <c r="J16" s="134"/>
    </row>
    <row r="17" spans="1:10" s="126" customFormat="1" ht="12.75">
      <c r="A17" s="126" t="s">
        <v>40</v>
      </c>
      <c r="B17" s="127" t="s">
        <v>1021</v>
      </c>
      <c r="C17" s="127" t="s">
        <v>41</v>
      </c>
      <c r="D17" s="127" t="s">
        <v>29</v>
      </c>
      <c r="E17" s="126" t="s">
        <v>42</v>
      </c>
      <c r="F17" s="132">
        <v>518.76</v>
      </c>
      <c r="G17" s="127" t="s">
        <v>14</v>
      </c>
      <c r="H17" s="132">
        <v>0.5</v>
      </c>
      <c r="I17" s="140">
        <v>259</v>
      </c>
      <c r="J17" s="135" t="s">
        <v>1018</v>
      </c>
    </row>
    <row r="18" spans="1:10" s="126" customFormat="1" ht="12.75">
      <c r="A18" s="126" t="s">
        <v>43</v>
      </c>
      <c r="B18" s="127" t="s">
        <v>1021</v>
      </c>
      <c r="C18" s="127" t="s">
        <v>44</v>
      </c>
      <c r="D18" s="127" t="s">
        <v>29</v>
      </c>
      <c r="E18" s="126" t="s">
        <v>45</v>
      </c>
      <c r="F18" s="132">
        <v>518.76</v>
      </c>
      <c r="G18" s="127" t="s">
        <v>14</v>
      </c>
      <c r="H18" s="132">
        <v>1</v>
      </c>
      <c r="I18" s="140">
        <v>519</v>
      </c>
      <c r="J18" s="135" t="s">
        <v>1018</v>
      </c>
    </row>
    <row r="19" spans="1:10" s="126" customFormat="1" ht="12.75">
      <c r="A19" s="126" t="s">
        <v>46</v>
      </c>
      <c r="B19" s="127" t="s">
        <v>1021</v>
      </c>
      <c r="C19" s="127">
        <v>32</v>
      </c>
      <c r="D19" s="127" t="s">
        <v>29</v>
      </c>
      <c r="E19" s="126" t="s">
        <v>47</v>
      </c>
      <c r="F19" s="132">
        <v>51.36</v>
      </c>
      <c r="G19" s="127" t="s">
        <v>14</v>
      </c>
      <c r="H19" s="132">
        <v>12.78</v>
      </c>
      <c r="I19" s="140">
        <v>656</v>
      </c>
      <c r="J19" s="135" t="s">
        <v>1018</v>
      </c>
    </row>
    <row r="20" spans="1:10" s="126" customFormat="1" ht="12.75">
      <c r="A20" s="126" t="s">
        <v>48</v>
      </c>
      <c r="B20" s="127" t="s">
        <v>1021</v>
      </c>
      <c r="C20" s="127">
        <v>39017</v>
      </c>
      <c r="D20" s="127" t="s">
        <v>29</v>
      </c>
      <c r="E20" s="126" t="s">
        <v>49</v>
      </c>
      <c r="F20" s="132">
        <v>157.15</v>
      </c>
      <c r="G20" s="127" t="s">
        <v>50</v>
      </c>
      <c r="H20" s="132">
        <v>0.13</v>
      </c>
      <c r="I20" s="140">
        <v>20</v>
      </c>
      <c r="J20" s="135" t="s">
        <v>1018</v>
      </c>
    </row>
    <row r="21" spans="1:10" s="126" customFormat="1" ht="12.75">
      <c r="A21" s="126" t="s">
        <v>51</v>
      </c>
      <c r="B21" s="127" t="s">
        <v>1021</v>
      </c>
      <c r="C21" s="127">
        <v>43055</v>
      </c>
      <c r="D21" s="127" t="s">
        <v>29</v>
      </c>
      <c r="E21" s="126" t="s">
        <v>52</v>
      </c>
      <c r="F21" s="132">
        <v>519.28</v>
      </c>
      <c r="G21" s="127" t="s">
        <v>14</v>
      </c>
      <c r="H21" s="132">
        <v>10.49</v>
      </c>
      <c r="I21" s="140">
        <v>5447</v>
      </c>
      <c r="J21" s="135" t="s">
        <v>1018</v>
      </c>
    </row>
    <row r="22" spans="1:10" s="126" customFormat="1" ht="13.5" thickBot="1">
      <c r="A22" s="126" t="s">
        <v>53</v>
      </c>
      <c r="B22" s="127" t="s">
        <v>1021</v>
      </c>
      <c r="C22" s="127">
        <v>43132</v>
      </c>
      <c r="D22" s="127" t="s">
        <v>29</v>
      </c>
      <c r="E22" s="126" t="s">
        <v>54</v>
      </c>
      <c r="F22" s="132">
        <v>12.84</v>
      </c>
      <c r="G22" s="127" t="s">
        <v>14</v>
      </c>
      <c r="H22" s="132">
        <v>25.83</v>
      </c>
      <c r="I22" s="140">
        <v>332</v>
      </c>
      <c r="J22" s="135" t="s">
        <v>1018</v>
      </c>
    </row>
    <row r="23" spans="1:10" ht="15.75" thickBot="1">
      <c r="A23" s="122" t="s">
        <v>55</v>
      </c>
      <c r="B23" s="123" t="s">
        <v>1022</v>
      </c>
      <c r="C23" s="123" t="s">
        <v>56</v>
      </c>
      <c r="D23" s="123" t="s">
        <v>29</v>
      </c>
      <c r="E23" s="122" t="s">
        <v>57</v>
      </c>
      <c r="F23" s="130">
        <v>1</v>
      </c>
      <c r="G23" s="123" t="s">
        <v>30</v>
      </c>
      <c r="H23" s="130">
        <v>16500</v>
      </c>
      <c r="I23" s="139">
        <v>16500</v>
      </c>
      <c r="J23" s="134"/>
    </row>
    <row r="24" spans="1:10" s="126" customFormat="1" ht="12.75">
      <c r="A24" s="126" t="s">
        <v>58</v>
      </c>
      <c r="B24" s="127" t="s">
        <v>1021</v>
      </c>
      <c r="C24" s="127" t="s">
        <v>59</v>
      </c>
      <c r="D24" s="127" t="s">
        <v>29</v>
      </c>
      <c r="E24" s="126" t="s">
        <v>60</v>
      </c>
      <c r="F24" s="132">
        <v>1</v>
      </c>
      <c r="G24" s="127" t="s">
        <v>61</v>
      </c>
      <c r="H24" s="132">
        <v>1500</v>
      </c>
      <c r="I24" s="140">
        <v>1500</v>
      </c>
      <c r="J24" s="135" t="s">
        <v>1019</v>
      </c>
    </row>
    <row r="25" spans="1:10" s="126" customFormat="1" ht="13.5" thickBot="1">
      <c r="A25" s="126" t="s">
        <v>62</v>
      </c>
      <c r="B25" s="127" t="s">
        <v>1021</v>
      </c>
      <c r="C25" s="127" t="s">
        <v>63</v>
      </c>
      <c r="D25" s="127" t="s">
        <v>29</v>
      </c>
      <c r="E25" s="126" t="s">
        <v>64</v>
      </c>
      <c r="F25" s="132">
        <v>1</v>
      </c>
      <c r="G25" s="127" t="s">
        <v>30</v>
      </c>
      <c r="H25" s="132">
        <v>15000</v>
      </c>
      <c r="I25" s="140">
        <v>15000</v>
      </c>
      <c r="J25" s="135" t="s">
        <v>1019</v>
      </c>
    </row>
    <row r="26" spans="1:10" ht="15.75" thickBot="1">
      <c r="A26" s="118">
        <v>-3</v>
      </c>
      <c r="B26" s="108" t="s">
        <v>1020</v>
      </c>
      <c r="C26" s="108">
        <v>3</v>
      </c>
      <c r="D26" s="108"/>
      <c r="E26" s="118" t="s">
        <v>65</v>
      </c>
      <c r="F26" s="129">
        <v>36.229999999999997</v>
      </c>
      <c r="G26" s="108" t="s">
        <v>34</v>
      </c>
      <c r="H26" s="129">
        <v>1933.5</v>
      </c>
      <c r="I26" s="138">
        <v>70047</v>
      </c>
      <c r="J26" s="110"/>
    </row>
    <row r="27" spans="1:10" ht="15.75" thickBot="1">
      <c r="A27" s="122" t="s">
        <v>66</v>
      </c>
      <c r="B27" s="123" t="s">
        <v>1022</v>
      </c>
      <c r="C27" s="123" t="s">
        <v>67</v>
      </c>
      <c r="D27" s="123" t="s">
        <v>65</v>
      </c>
      <c r="E27" s="122" t="s">
        <v>68</v>
      </c>
      <c r="F27" s="130">
        <v>1449.12</v>
      </c>
      <c r="G27" s="123" t="s">
        <v>14</v>
      </c>
      <c r="H27" s="130">
        <v>14.1</v>
      </c>
      <c r="I27" s="139">
        <v>20426</v>
      </c>
      <c r="J27" s="134"/>
    </row>
    <row r="28" spans="1:10" s="126" customFormat="1" ht="12.75">
      <c r="A28" s="126" t="s">
        <v>69</v>
      </c>
      <c r="B28" s="127" t="s">
        <v>1021</v>
      </c>
      <c r="C28" s="127" t="s">
        <v>41</v>
      </c>
      <c r="D28" s="127" t="s">
        <v>65</v>
      </c>
      <c r="E28" s="126" t="s">
        <v>42</v>
      </c>
      <c r="F28" s="132">
        <v>1449.12</v>
      </c>
      <c r="G28" s="127" t="s">
        <v>14</v>
      </c>
      <c r="H28" s="132">
        <v>0.5</v>
      </c>
      <c r="I28" s="140">
        <v>725</v>
      </c>
      <c r="J28" s="135" t="s">
        <v>1018</v>
      </c>
    </row>
    <row r="29" spans="1:10" s="126" customFormat="1" ht="12.75">
      <c r="A29" s="126" t="s">
        <v>70</v>
      </c>
      <c r="B29" s="127" t="s">
        <v>1021</v>
      </c>
      <c r="C29" s="127" t="s">
        <v>44</v>
      </c>
      <c r="D29" s="127" t="s">
        <v>65</v>
      </c>
      <c r="E29" s="126" t="s">
        <v>45</v>
      </c>
      <c r="F29" s="132">
        <v>1449.12</v>
      </c>
      <c r="G29" s="127" t="s">
        <v>14</v>
      </c>
      <c r="H29" s="132">
        <v>1</v>
      </c>
      <c r="I29" s="140">
        <v>1449</v>
      </c>
      <c r="J29" s="135" t="s">
        <v>1018</v>
      </c>
    </row>
    <row r="30" spans="1:10" s="126" customFormat="1" ht="12.75">
      <c r="A30" s="126" t="s">
        <v>71</v>
      </c>
      <c r="B30" s="127" t="s">
        <v>1021</v>
      </c>
      <c r="C30" s="127">
        <v>32</v>
      </c>
      <c r="D30" s="127" t="s">
        <v>65</v>
      </c>
      <c r="E30" s="126" t="s">
        <v>47</v>
      </c>
      <c r="F30" s="132">
        <v>239.1</v>
      </c>
      <c r="G30" s="127" t="s">
        <v>14</v>
      </c>
      <c r="H30" s="132">
        <v>12.78</v>
      </c>
      <c r="I30" s="140">
        <v>3056</v>
      </c>
      <c r="J30" s="135" t="s">
        <v>1018</v>
      </c>
    </row>
    <row r="31" spans="1:10" s="126" customFormat="1" ht="12.75">
      <c r="A31" s="126" t="s">
        <v>72</v>
      </c>
      <c r="B31" s="127" t="s">
        <v>1021</v>
      </c>
      <c r="C31" s="127">
        <v>39017</v>
      </c>
      <c r="D31" s="127" t="s">
        <v>65</v>
      </c>
      <c r="E31" s="126" t="s">
        <v>49</v>
      </c>
      <c r="F31" s="132">
        <v>439</v>
      </c>
      <c r="G31" s="127" t="s">
        <v>50</v>
      </c>
      <c r="H31" s="132">
        <v>0.13</v>
      </c>
      <c r="I31" s="140">
        <v>57</v>
      </c>
      <c r="J31" s="135" t="s">
        <v>1018</v>
      </c>
    </row>
    <row r="32" spans="1:10" s="126" customFormat="1" ht="12.75">
      <c r="A32" s="126" t="s">
        <v>73</v>
      </c>
      <c r="B32" s="127" t="s">
        <v>1021</v>
      </c>
      <c r="C32" s="127">
        <v>43055</v>
      </c>
      <c r="D32" s="127" t="s">
        <v>65</v>
      </c>
      <c r="E32" s="126" t="s">
        <v>52</v>
      </c>
      <c r="F32" s="132">
        <v>1354.93</v>
      </c>
      <c r="G32" s="127" t="s">
        <v>14</v>
      </c>
      <c r="H32" s="132">
        <v>10.49</v>
      </c>
      <c r="I32" s="140">
        <v>14213</v>
      </c>
      <c r="J32" s="135" t="s">
        <v>1018</v>
      </c>
    </row>
    <row r="33" spans="1:10" s="126" customFormat="1" ht="13.5" thickBot="1">
      <c r="A33" s="126" t="s">
        <v>74</v>
      </c>
      <c r="B33" s="127" t="s">
        <v>1021</v>
      </c>
      <c r="C33" s="127">
        <v>43132</v>
      </c>
      <c r="D33" s="127" t="s">
        <v>65</v>
      </c>
      <c r="E33" s="126" t="s">
        <v>54</v>
      </c>
      <c r="F33" s="132">
        <v>35.869999999999997</v>
      </c>
      <c r="G33" s="127" t="s">
        <v>14</v>
      </c>
      <c r="H33" s="132">
        <v>25.83</v>
      </c>
      <c r="I33" s="140">
        <v>926</v>
      </c>
      <c r="J33" s="135" t="s">
        <v>1018</v>
      </c>
    </row>
    <row r="34" spans="1:10" ht="15.75" thickBot="1">
      <c r="A34" s="122" t="s">
        <v>75</v>
      </c>
      <c r="B34" s="123" t="s">
        <v>1022</v>
      </c>
      <c r="C34" s="123" t="s">
        <v>76</v>
      </c>
      <c r="D34" s="123" t="s">
        <v>65</v>
      </c>
      <c r="E34" s="122" t="s">
        <v>77</v>
      </c>
      <c r="F34" s="130">
        <v>18.11</v>
      </c>
      <c r="G34" s="123" t="s">
        <v>34</v>
      </c>
      <c r="H34" s="130">
        <v>492.71</v>
      </c>
      <c r="I34" s="139">
        <v>8925</v>
      </c>
      <c r="J34" s="134"/>
    </row>
    <row r="35" spans="1:10" s="126" customFormat="1" ht="13.5" thickBot="1">
      <c r="A35" s="126" t="s">
        <v>78</v>
      </c>
      <c r="B35" s="127" t="s">
        <v>1021</v>
      </c>
      <c r="C35" s="127">
        <v>43360</v>
      </c>
      <c r="D35" s="127" t="s">
        <v>65</v>
      </c>
      <c r="E35" s="126" t="s">
        <v>36</v>
      </c>
      <c r="F35" s="132">
        <v>19.93</v>
      </c>
      <c r="G35" s="127" t="s">
        <v>34</v>
      </c>
      <c r="H35" s="132">
        <v>447.92</v>
      </c>
      <c r="I35" s="140">
        <v>8925</v>
      </c>
      <c r="J35" s="135" t="s">
        <v>1019</v>
      </c>
    </row>
    <row r="36" spans="1:10" ht="15.75" thickBot="1">
      <c r="A36" s="122" t="s">
        <v>79</v>
      </c>
      <c r="B36" s="123" t="s">
        <v>1022</v>
      </c>
      <c r="C36" s="123" t="s">
        <v>80</v>
      </c>
      <c r="D36" s="123" t="s">
        <v>65</v>
      </c>
      <c r="E36" s="122" t="s">
        <v>81</v>
      </c>
      <c r="F36" s="130">
        <v>185.2</v>
      </c>
      <c r="G36" s="123" t="s">
        <v>82</v>
      </c>
      <c r="H36" s="130">
        <v>43.03</v>
      </c>
      <c r="I36" s="139">
        <v>7969</v>
      </c>
      <c r="J36" s="134"/>
    </row>
    <row r="37" spans="1:10" s="126" customFormat="1" ht="12.75">
      <c r="A37" s="126" t="s">
        <v>83</v>
      </c>
      <c r="B37" s="127" t="s">
        <v>1021</v>
      </c>
      <c r="C37" s="127">
        <v>1358</v>
      </c>
      <c r="D37" s="127" t="s">
        <v>65</v>
      </c>
      <c r="E37" s="126" t="s">
        <v>84</v>
      </c>
      <c r="F37" s="132">
        <v>109.82</v>
      </c>
      <c r="G37" s="127" t="s">
        <v>82</v>
      </c>
      <c r="H37" s="132">
        <v>46.86</v>
      </c>
      <c r="I37" s="140">
        <v>5146</v>
      </c>
      <c r="J37" s="135" t="s">
        <v>1018</v>
      </c>
    </row>
    <row r="38" spans="1:10" s="126" customFormat="1" ht="12.75">
      <c r="A38" s="126" t="s">
        <v>85</v>
      </c>
      <c r="B38" s="127" t="s">
        <v>1021</v>
      </c>
      <c r="C38" s="127">
        <v>20247</v>
      </c>
      <c r="D38" s="127" t="s">
        <v>65</v>
      </c>
      <c r="E38" s="126" t="s">
        <v>86</v>
      </c>
      <c r="F38" s="132">
        <v>1.3</v>
      </c>
      <c r="G38" s="127" t="s">
        <v>14</v>
      </c>
      <c r="H38" s="132">
        <v>24.02</v>
      </c>
      <c r="I38" s="140">
        <v>31</v>
      </c>
      <c r="J38" s="135" t="s">
        <v>1018</v>
      </c>
    </row>
    <row r="39" spans="1:10" s="126" customFormat="1" ht="12.75">
      <c r="A39" s="126" t="s">
        <v>87</v>
      </c>
      <c r="B39" s="127" t="s">
        <v>1021</v>
      </c>
      <c r="C39" s="127">
        <v>2692</v>
      </c>
      <c r="D39" s="127" t="s">
        <v>65</v>
      </c>
      <c r="E39" s="126" t="s">
        <v>88</v>
      </c>
      <c r="F39" s="132">
        <v>1.85</v>
      </c>
      <c r="G39" s="127" t="s">
        <v>17</v>
      </c>
      <c r="H39" s="132">
        <v>5.29</v>
      </c>
      <c r="I39" s="140">
        <v>10</v>
      </c>
      <c r="J39" s="135" t="s">
        <v>1018</v>
      </c>
    </row>
    <row r="40" spans="1:10" s="126" customFormat="1" ht="12.75">
      <c r="A40" s="126" t="s">
        <v>89</v>
      </c>
      <c r="B40" s="127" t="s">
        <v>1021</v>
      </c>
      <c r="C40" s="127">
        <v>40304</v>
      </c>
      <c r="D40" s="127" t="s">
        <v>65</v>
      </c>
      <c r="E40" s="126" t="s">
        <v>90</v>
      </c>
      <c r="F40" s="132">
        <v>1.85</v>
      </c>
      <c r="G40" s="127" t="s">
        <v>14</v>
      </c>
      <c r="H40" s="132">
        <v>26.78</v>
      </c>
      <c r="I40" s="140">
        <v>50</v>
      </c>
      <c r="J40" s="135" t="s">
        <v>1018</v>
      </c>
    </row>
    <row r="41" spans="1:10" s="126" customFormat="1" ht="12.75">
      <c r="A41" s="126" t="s">
        <v>91</v>
      </c>
      <c r="B41" s="127" t="s">
        <v>1021</v>
      </c>
      <c r="C41" s="127">
        <v>4491</v>
      </c>
      <c r="D41" s="127" t="s">
        <v>65</v>
      </c>
      <c r="E41" s="126" t="s">
        <v>92</v>
      </c>
      <c r="F41" s="132">
        <v>424.85</v>
      </c>
      <c r="G41" s="127" t="s">
        <v>5</v>
      </c>
      <c r="H41" s="132">
        <v>5.05</v>
      </c>
      <c r="I41" s="140">
        <v>2145</v>
      </c>
      <c r="J41" s="135" t="s">
        <v>1018</v>
      </c>
    </row>
    <row r="42" spans="1:10" s="126" customFormat="1" ht="12.75">
      <c r="A42" s="126" t="s">
        <v>93</v>
      </c>
      <c r="B42" s="127" t="s">
        <v>1021</v>
      </c>
      <c r="C42" s="127">
        <v>4517</v>
      </c>
      <c r="D42" s="127" t="s">
        <v>65</v>
      </c>
      <c r="E42" s="126" t="s">
        <v>94</v>
      </c>
      <c r="F42" s="132">
        <v>251.69</v>
      </c>
      <c r="G42" s="127" t="s">
        <v>5</v>
      </c>
      <c r="H42" s="132">
        <v>1.76</v>
      </c>
      <c r="I42" s="140">
        <v>443</v>
      </c>
      <c r="J42" s="135" t="s">
        <v>1018</v>
      </c>
    </row>
    <row r="43" spans="1:10" s="126" customFormat="1" ht="13.5" thickBot="1">
      <c r="A43" s="126" t="s">
        <v>95</v>
      </c>
      <c r="B43" s="127" t="s">
        <v>1021</v>
      </c>
      <c r="C43" s="127">
        <v>5073</v>
      </c>
      <c r="D43" s="127" t="s">
        <v>65</v>
      </c>
      <c r="E43" s="126" t="s">
        <v>96</v>
      </c>
      <c r="F43" s="132">
        <v>6.48</v>
      </c>
      <c r="G43" s="127" t="s">
        <v>14</v>
      </c>
      <c r="H43" s="132">
        <v>22.11</v>
      </c>
      <c r="I43" s="140">
        <v>143</v>
      </c>
      <c r="J43" s="135" t="s">
        <v>1018</v>
      </c>
    </row>
    <row r="44" spans="1:10" ht="15.75" thickBot="1">
      <c r="A44" s="122" t="s">
        <v>97</v>
      </c>
      <c r="B44" s="123" t="s">
        <v>1022</v>
      </c>
      <c r="C44" s="123" t="s">
        <v>98</v>
      </c>
      <c r="D44" s="123" t="s">
        <v>65</v>
      </c>
      <c r="E44" s="122" t="s">
        <v>99</v>
      </c>
      <c r="F44" s="130">
        <v>18.11</v>
      </c>
      <c r="G44" s="123" t="s">
        <v>34</v>
      </c>
      <c r="H44" s="130">
        <v>400</v>
      </c>
      <c r="I44" s="139">
        <v>7246</v>
      </c>
      <c r="J44" s="134"/>
    </row>
    <row r="45" spans="1:10" s="126" customFormat="1" ht="13.5" thickBot="1">
      <c r="A45" s="126" t="s">
        <v>100</v>
      </c>
      <c r="B45" s="127" t="s">
        <v>1021</v>
      </c>
      <c r="C45" s="127" t="s">
        <v>101</v>
      </c>
      <c r="D45" s="127" t="s">
        <v>65</v>
      </c>
      <c r="E45" s="126" t="s">
        <v>102</v>
      </c>
      <c r="F45" s="132">
        <v>18.11</v>
      </c>
      <c r="G45" s="127" t="s">
        <v>34</v>
      </c>
      <c r="H45" s="132">
        <v>400</v>
      </c>
      <c r="I45" s="140">
        <v>7246</v>
      </c>
      <c r="J45" s="135" t="s">
        <v>1019</v>
      </c>
    </row>
    <row r="46" spans="1:10" ht="15.75" thickBot="1">
      <c r="A46" s="122" t="s">
        <v>103</v>
      </c>
      <c r="B46" s="123" t="s">
        <v>1022</v>
      </c>
      <c r="C46" s="123" t="s">
        <v>104</v>
      </c>
      <c r="D46" s="123" t="s">
        <v>65</v>
      </c>
      <c r="E46" s="122" t="s">
        <v>105</v>
      </c>
      <c r="F46" s="130">
        <v>185.2</v>
      </c>
      <c r="G46" s="123" t="s">
        <v>82</v>
      </c>
      <c r="H46" s="130">
        <v>127.59</v>
      </c>
      <c r="I46" s="139">
        <v>23629</v>
      </c>
      <c r="J46" s="134"/>
    </row>
    <row r="47" spans="1:10" s="126" customFormat="1" ht="12.75">
      <c r="A47" s="126" t="s">
        <v>106</v>
      </c>
      <c r="B47" s="127" t="s">
        <v>1021</v>
      </c>
      <c r="C47" s="127">
        <v>4014</v>
      </c>
      <c r="D47" s="127" t="s">
        <v>65</v>
      </c>
      <c r="E47" s="126" t="s">
        <v>107</v>
      </c>
      <c r="F47" s="132">
        <v>208.35</v>
      </c>
      <c r="G47" s="127" t="s">
        <v>82</v>
      </c>
      <c r="H47" s="132">
        <v>46.87</v>
      </c>
      <c r="I47" s="140">
        <v>9765</v>
      </c>
      <c r="J47" s="135" t="s">
        <v>1018</v>
      </c>
    </row>
    <row r="48" spans="1:10" s="126" customFormat="1" ht="12.75">
      <c r="A48" s="126" t="s">
        <v>108</v>
      </c>
      <c r="B48" s="127" t="s">
        <v>1021</v>
      </c>
      <c r="C48" s="127">
        <v>4015</v>
      </c>
      <c r="D48" s="127" t="s">
        <v>65</v>
      </c>
      <c r="E48" s="126" t="s">
        <v>109</v>
      </c>
      <c r="F48" s="132">
        <v>208.35</v>
      </c>
      <c r="G48" s="127" t="s">
        <v>82</v>
      </c>
      <c r="H48" s="132">
        <v>57.56</v>
      </c>
      <c r="I48" s="140">
        <v>11993</v>
      </c>
      <c r="J48" s="135" t="s">
        <v>1018</v>
      </c>
    </row>
    <row r="49" spans="1:10" s="126" customFormat="1" ht="13.5" thickBot="1">
      <c r="A49" s="126" t="s">
        <v>110</v>
      </c>
      <c r="B49" s="127" t="s">
        <v>1021</v>
      </c>
      <c r="C49" s="127">
        <v>511</v>
      </c>
      <c r="D49" s="127" t="s">
        <v>65</v>
      </c>
      <c r="E49" s="126" t="s">
        <v>111</v>
      </c>
      <c r="F49" s="132">
        <v>113.9</v>
      </c>
      <c r="G49" s="127" t="s">
        <v>17</v>
      </c>
      <c r="H49" s="132">
        <v>16.43</v>
      </c>
      <c r="I49" s="140">
        <v>1871</v>
      </c>
      <c r="J49" s="135" t="s">
        <v>1018</v>
      </c>
    </row>
    <row r="50" spans="1:10" ht="15.75" thickBot="1">
      <c r="A50" s="122" t="s">
        <v>112</v>
      </c>
      <c r="B50" s="123" t="s">
        <v>1022</v>
      </c>
      <c r="C50" s="123" t="s">
        <v>113</v>
      </c>
      <c r="D50" s="123" t="s">
        <v>65</v>
      </c>
      <c r="E50" s="122" t="s">
        <v>114</v>
      </c>
      <c r="F50" s="130">
        <v>185.2</v>
      </c>
      <c r="G50" s="123" t="s">
        <v>82</v>
      </c>
      <c r="H50" s="130">
        <v>10</v>
      </c>
      <c r="I50" s="139">
        <v>1852</v>
      </c>
      <c r="J50" s="134"/>
    </row>
    <row r="51" spans="1:10" s="126" customFormat="1" ht="13.5" thickBot="1">
      <c r="A51" s="126" t="s">
        <v>115</v>
      </c>
      <c r="B51" s="127" t="s">
        <v>1021</v>
      </c>
      <c r="C51" s="127" t="s">
        <v>116</v>
      </c>
      <c r="D51" s="127" t="s">
        <v>65</v>
      </c>
      <c r="E51" s="126" t="s">
        <v>117</v>
      </c>
      <c r="F51" s="132">
        <v>185.2</v>
      </c>
      <c r="G51" s="127" t="s">
        <v>82</v>
      </c>
      <c r="H51" s="132">
        <v>10</v>
      </c>
      <c r="I51" s="140">
        <v>1852</v>
      </c>
      <c r="J51" s="135" t="s">
        <v>1019</v>
      </c>
    </row>
    <row r="52" spans="1:10" ht="15.75" thickBot="1">
      <c r="A52" s="118">
        <v>-4</v>
      </c>
      <c r="B52" s="108" t="s">
        <v>1020</v>
      </c>
      <c r="C52" s="108">
        <v>4</v>
      </c>
      <c r="D52" s="108"/>
      <c r="E52" s="118" t="s">
        <v>118</v>
      </c>
      <c r="F52" s="129">
        <v>2</v>
      </c>
      <c r="G52" s="108" t="s">
        <v>30</v>
      </c>
      <c r="H52" s="129">
        <v>175</v>
      </c>
      <c r="I52" s="138">
        <v>350</v>
      </c>
      <c r="J52" s="110"/>
    </row>
    <row r="53" spans="1:10" ht="15.75" thickBot="1">
      <c r="A53" s="122" t="s">
        <v>119</v>
      </c>
      <c r="B53" s="123" t="s">
        <v>1022</v>
      </c>
      <c r="C53" s="123" t="s">
        <v>120</v>
      </c>
      <c r="D53" s="123" t="s">
        <v>118</v>
      </c>
      <c r="E53" s="122" t="s">
        <v>121</v>
      </c>
      <c r="F53" s="130">
        <v>1</v>
      </c>
      <c r="G53" s="123" t="s">
        <v>30</v>
      </c>
      <c r="H53" s="130">
        <v>100</v>
      </c>
      <c r="I53" s="139">
        <v>100</v>
      </c>
      <c r="J53" s="134"/>
    </row>
    <row r="54" spans="1:10" s="126" customFormat="1" ht="13.5" thickBot="1">
      <c r="A54" s="126" t="s">
        <v>122</v>
      </c>
      <c r="B54" s="127" t="s">
        <v>1021</v>
      </c>
      <c r="C54" s="127" t="s">
        <v>123</v>
      </c>
      <c r="D54" s="127" t="s">
        <v>118</v>
      </c>
      <c r="E54" s="126" t="s">
        <v>124</v>
      </c>
      <c r="F54" s="132">
        <v>1</v>
      </c>
      <c r="G54" s="127" t="s">
        <v>30</v>
      </c>
      <c r="H54" s="132">
        <v>100</v>
      </c>
      <c r="I54" s="140">
        <v>100</v>
      </c>
      <c r="J54" s="135" t="s">
        <v>1019</v>
      </c>
    </row>
    <row r="55" spans="1:10" ht="15.75" thickBot="1">
      <c r="A55" s="122" t="s">
        <v>125</v>
      </c>
      <c r="B55" s="123" t="s">
        <v>1022</v>
      </c>
      <c r="C55" s="123" t="s">
        <v>126</v>
      </c>
      <c r="D55" s="123" t="s">
        <v>118</v>
      </c>
      <c r="E55" s="122" t="s">
        <v>127</v>
      </c>
      <c r="F55" s="130">
        <v>1</v>
      </c>
      <c r="G55" s="123" t="s">
        <v>30</v>
      </c>
      <c r="H55" s="130">
        <v>250</v>
      </c>
      <c r="I55" s="139">
        <v>250</v>
      </c>
      <c r="J55" s="134"/>
    </row>
    <row r="56" spans="1:10" s="126" customFormat="1" ht="13.5" thickBot="1">
      <c r="A56" s="126" t="s">
        <v>128</v>
      </c>
      <c r="B56" s="127" t="s">
        <v>1021</v>
      </c>
      <c r="C56" s="127" t="s">
        <v>129</v>
      </c>
      <c r="D56" s="127" t="s">
        <v>118</v>
      </c>
      <c r="E56" s="126" t="s">
        <v>130</v>
      </c>
      <c r="F56" s="132">
        <v>1</v>
      </c>
      <c r="G56" s="127" t="s">
        <v>30</v>
      </c>
      <c r="H56" s="132">
        <v>250</v>
      </c>
      <c r="I56" s="140">
        <v>250</v>
      </c>
      <c r="J56" s="135" t="s">
        <v>1019</v>
      </c>
    </row>
    <row r="57" spans="1:10" ht="15.75" thickBot="1">
      <c r="A57" s="118">
        <v>-5</v>
      </c>
      <c r="B57" s="108" t="s">
        <v>1020</v>
      </c>
      <c r="C57" s="108">
        <v>5</v>
      </c>
      <c r="D57" s="108" t="s">
        <v>131</v>
      </c>
      <c r="E57" s="118" t="s">
        <v>131</v>
      </c>
      <c r="F57" s="129">
        <v>456.3</v>
      </c>
      <c r="G57" s="108" t="s">
        <v>82</v>
      </c>
      <c r="H57" s="129">
        <v>76.510000000000005</v>
      </c>
      <c r="I57" s="138">
        <v>34912</v>
      </c>
      <c r="J57" s="110"/>
    </row>
    <row r="58" spans="1:10" ht="15.75" thickBot="1">
      <c r="A58" s="122" t="s">
        <v>132</v>
      </c>
      <c r="B58" s="123" t="s">
        <v>1022</v>
      </c>
      <c r="C58" s="123" t="s">
        <v>133</v>
      </c>
      <c r="D58" s="123" t="s">
        <v>131</v>
      </c>
      <c r="E58" s="122" t="s">
        <v>134</v>
      </c>
      <c r="F58" s="130">
        <v>224.41</v>
      </c>
      <c r="G58" s="123" t="s">
        <v>82</v>
      </c>
      <c r="H58" s="130">
        <v>5.64</v>
      </c>
      <c r="I58" s="139">
        <v>1265</v>
      </c>
      <c r="J58" s="134"/>
    </row>
    <row r="59" spans="1:10" s="126" customFormat="1" ht="12.75">
      <c r="A59" s="126" t="s">
        <v>135</v>
      </c>
      <c r="B59" s="127" t="s">
        <v>1021</v>
      </c>
      <c r="C59" s="127">
        <v>42408</v>
      </c>
      <c r="D59" s="127" t="s">
        <v>131</v>
      </c>
      <c r="E59" s="126" t="s">
        <v>136</v>
      </c>
      <c r="F59" s="132">
        <v>269.29000000000002</v>
      </c>
      <c r="G59" s="127" t="s">
        <v>82</v>
      </c>
      <c r="H59" s="132">
        <v>2.15</v>
      </c>
      <c r="I59" s="140">
        <v>579</v>
      </c>
      <c r="J59" s="135" t="s">
        <v>1018</v>
      </c>
    </row>
    <row r="60" spans="1:10" s="126" customFormat="1" ht="13.5" thickBot="1">
      <c r="A60" s="126" t="s">
        <v>137</v>
      </c>
      <c r="B60" s="127" t="s">
        <v>1021</v>
      </c>
      <c r="C60" s="127">
        <v>4718</v>
      </c>
      <c r="D60" s="127" t="s">
        <v>131</v>
      </c>
      <c r="E60" s="126" t="s">
        <v>138</v>
      </c>
      <c r="F60" s="132">
        <v>12.34</v>
      </c>
      <c r="G60" s="127" t="s">
        <v>34</v>
      </c>
      <c r="H60" s="132">
        <v>55.6</v>
      </c>
      <c r="I60" s="140">
        <v>686</v>
      </c>
      <c r="J60" s="135" t="s">
        <v>1018</v>
      </c>
    </row>
    <row r="61" spans="1:10" ht="15.75" thickBot="1">
      <c r="A61" s="122" t="s">
        <v>139</v>
      </c>
      <c r="B61" s="123" t="s">
        <v>1022</v>
      </c>
      <c r="C61" s="123" t="s">
        <v>140</v>
      </c>
      <c r="D61" s="123" t="s">
        <v>131</v>
      </c>
      <c r="E61" s="122" t="s">
        <v>141</v>
      </c>
      <c r="F61" s="130">
        <v>565.52</v>
      </c>
      <c r="G61" s="123" t="s">
        <v>14</v>
      </c>
      <c r="H61" s="130">
        <v>25.49</v>
      </c>
      <c r="I61" s="139">
        <v>14414</v>
      </c>
      <c r="J61" s="134"/>
    </row>
    <row r="62" spans="1:10" s="126" customFormat="1" ht="12.75">
      <c r="A62" s="126" t="s">
        <v>142</v>
      </c>
      <c r="B62" s="127" t="s">
        <v>1021</v>
      </c>
      <c r="C62" s="127">
        <v>42406</v>
      </c>
      <c r="D62" s="127" t="s">
        <v>131</v>
      </c>
      <c r="E62" s="126" t="s">
        <v>143</v>
      </c>
      <c r="F62" s="132">
        <v>273.70999999999998</v>
      </c>
      <c r="G62" s="127" t="s">
        <v>82</v>
      </c>
      <c r="H62" s="132">
        <v>42.19</v>
      </c>
      <c r="I62" s="140">
        <v>11548</v>
      </c>
      <c r="J62" s="135" t="s">
        <v>1018</v>
      </c>
    </row>
    <row r="63" spans="1:10" s="126" customFormat="1" ht="12.75">
      <c r="A63" s="126" t="s">
        <v>144</v>
      </c>
      <c r="B63" s="127" t="s">
        <v>1021</v>
      </c>
      <c r="C63" s="127">
        <v>42407</v>
      </c>
      <c r="D63" s="127" t="s">
        <v>131</v>
      </c>
      <c r="E63" s="126" t="s">
        <v>145</v>
      </c>
      <c r="F63" s="132">
        <v>224.51</v>
      </c>
      <c r="G63" s="127" t="s">
        <v>5</v>
      </c>
      <c r="H63" s="132">
        <v>12.05</v>
      </c>
      <c r="I63" s="140">
        <v>2705</v>
      </c>
      <c r="J63" s="135" t="s">
        <v>1018</v>
      </c>
    </row>
    <row r="64" spans="1:10" s="126" customFormat="1" ht="13.5" thickBot="1">
      <c r="A64" s="126" t="s">
        <v>146</v>
      </c>
      <c r="B64" s="127" t="s">
        <v>1021</v>
      </c>
      <c r="C64" s="127">
        <v>43132</v>
      </c>
      <c r="D64" s="127" t="s">
        <v>131</v>
      </c>
      <c r="E64" s="126" t="s">
        <v>54</v>
      </c>
      <c r="F64" s="132">
        <v>6.22</v>
      </c>
      <c r="G64" s="127" t="s">
        <v>14</v>
      </c>
      <c r="H64" s="132">
        <v>25.83</v>
      </c>
      <c r="I64" s="140">
        <v>161</v>
      </c>
      <c r="J64" s="135" t="s">
        <v>1018</v>
      </c>
    </row>
    <row r="65" spans="1:10" ht="15.75" thickBot="1">
      <c r="A65" s="122" t="s">
        <v>147</v>
      </c>
      <c r="B65" s="123" t="s">
        <v>1022</v>
      </c>
      <c r="C65" s="123" t="s">
        <v>148</v>
      </c>
      <c r="D65" s="123" t="s">
        <v>131</v>
      </c>
      <c r="E65" s="122" t="s">
        <v>149</v>
      </c>
      <c r="F65" s="130">
        <v>22.44</v>
      </c>
      <c r="G65" s="123" t="s">
        <v>34</v>
      </c>
      <c r="H65" s="130">
        <v>492.71</v>
      </c>
      <c r="I65" s="139">
        <v>11057</v>
      </c>
      <c r="J65" s="134"/>
    </row>
    <row r="66" spans="1:10" s="126" customFormat="1" ht="13.5" thickBot="1">
      <c r="A66" s="126" t="s">
        <v>150</v>
      </c>
      <c r="B66" s="127" t="s">
        <v>1021</v>
      </c>
      <c r="C66" s="127">
        <v>43360</v>
      </c>
      <c r="D66" s="127" t="s">
        <v>131</v>
      </c>
      <c r="E66" s="126" t="s">
        <v>36</v>
      </c>
      <c r="F66" s="132">
        <v>24.69</v>
      </c>
      <c r="G66" s="127" t="s">
        <v>34</v>
      </c>
      <c r="H66" s="132">
        <v>447.92</v>
      </c>
      <c r="I66" s="140">
        <v>11057</v>
      </c>
      <c r="J66" s="135" t="s">
        <v>1019</v>
      </c>
    </row>
    <row r="67" spans="1:10" ht="15.75" thickBot="1">
      <c r="A67" s="122" t="s">
        <v>151</v>
      </c>
      <c r="B67" s="123" t="s">
        <v>1022</v>
      </c>
      <c r="C67" s="123" t="s">
        <v>152</v>
      </c>
      <c r="D67" s="123" t="s">
        <v>131</v>
      </c>
      <c r="E67" s="122" t="s">
        <v>153</v>
      </c>
      <c r="F67" s="130">
        <v>7.47</v>
      </c>
      <c r="G67" s="123" t="s">
        <v>82</v>
      </c>
      <c r="H67" s="130">
        <v>43.03</v>
      </c>
      <c r="I67" s="139">
        <v>322</v>
      </c>
      <c r="J67" s="134"/>
    </row>
    <row r="68" spans="1:10" s="126" customFormat="1" ht="12.75">
      <c r="A68" s="126" t="s">
        <v>154</v>
      </c>
      <c r="B68" s="127" t="s">
        <v>1021</v>
      </c>
      <c r="C68" s="127">
        <v>1358</v>
      </c>
      <c r="D68" s="127" t="s">
        <v>131</v>
      </c>
      <c r="E68" s="126" t="s">
        <v>84</v>
      </c>
      <c r="F68" s="132">
        <v>4.43</v>
      </c>
      <c r="G68" s="127" t="s">
        <v>82</v>
      </c>
      <c r="H68" s="132">
        <v>46.86</v>
      </c>
      <c r="I68" s="140">
        <v>208</v>
      </c>
      <c r="J68" s="135" t="s">
        <v>1018</v>
      </c>
    </row>
    <row r="69" spans="1:10" s="126" customFormat="1" ht="12.75">
      <c r="A69" s="126" t="s">
        <v>155</v>
      </c>
      <c r="B69" s="127" t="s">
        <v>1021</v>
      </c>
      <c r="C69" s="127">
        <v>20247</v>
      </c>
      <c r="D69" s="127" t="s">
        <v>131</v>
      </c>
      <c r="E69" s="126" t="s">
        <v>86</v>
      </c>
      <c r="F69" s="132">
        <v>0.05</v>
      </c>
      <c r="G69" s="127" t="s">
        <v>14</v>
      </c>
      <c r="H69" s="132">
        <v>24.02</v>
      </c>
      <c r="I69" s="140">
        <v>1</v>
      </c>
      <c r="J69" s="135" t="s">
        <v>1018</v>
      </c>
    </row>
    <row r="70" spans="1:10" s="126" customFormat="1" ht="12.75">
      <c r="A70" s="126" t="s">
        <v>156</v>
      </c>
      <c r="B70" s="127" t="s">
        <v>1021</v>
      </c>
      <c r="C70" s="127">
        <v>2692</v>
      </c>
      <c r="D70" s="127" t="s">
        <v>131</v>
      </c>
      <c r="E70" s="126" t="s">
        <v>88</v>
      </c>
      <c r="F70" s="132">
        <v>7.0000000000000007E-2</v>
      </c>
      <c r="G70" s="127" t="s">
        <v>17</v>
      </c>
      <c r="H70" s="132">
        <v>5.29</v>
      </c>
      <c r="I70" s="140">
        <f>H70*F70</f>
        <v>0.37030000000000002</v>
      </c>
      <c r="J70" s="135" t="s">
        <v>1018</v>
      </c>
    </row>
    <row r="71" spans="1:10" s="126" customFormat="1" ht="12.75">
      <c r="A71" s="126" t="s">
        <v>157</v>
      </c>
      <c r="B71" s="127" t="s">
        <v>1021</v>
      </c>
      <c r="C71" s="127">
        <v>40304</v>
      </c>
      <c r="D71" s="127" t="s">
        <v>131</v>
      </c>
      <c r="E71" s="126" t="s">
        <v>90</v>
      </c>
      <c r="F71" s="132">
        <v>7.0000000000000007E-2</v>
      </c>
      <c r="G71" s="127" t="s">
        <v>14</v>
      </c>
      <c r="H71" s="132">
        <v>26.78</v>
      </c>
      <c r="I71" s="140">
        <v>2</v>
      </c>
      <c r="J71" s="135" t="s">
        <v>1018</v>
      </c>
    </row>
    <row r="72" spans="1:10" s="126" customFormat="1" ht="12.75">
      <c r="A72" s="126" t="s">
        <v>158</v>
      </c>
      <c r="B72" s="127" t="s">
        <v>1021</v>
      </c>
      <c r="C72" s="127">
        <v>4491</v>
      </c>
      <c r="D72" s="127" t="s">
        <v>131</v>
      </c>
      <c r="E72" s="126" t="s">
        <v>92</v>
      </c>
      <c r="F72" s="132">
        <v>17.149999999999999</v>
      </c>
      <c r="G72" s="127" t="s">
        <v>5</v>
      </c>
      <c r="H72" s="132">
        <v>5.05</v>
      </c>
      <c r="I72" s="140">
        <v>87</v>
      </c>
      <c r="J72" s="135" t="s">
        <v>1018</v>
      </c>
    </row>
    <row r="73" spans="1:10" s="126" customFormat="1" ht="12.75">
      <c r="A73" s="126" t="s">
        <v>159</v>
      </c>
      <c r="B73" s="127" t="s">
        <v>1021</v>
      </c>
      <c r="C73" s="127">
        <v>4517</v>
      </c>
      <c r="D73" s="127" t="s">
        <v>131</v>
      </c>
      <c r="E73" s="126" t="s">
        <v>94</v>
      </c>
      <c r="F73" s="132">
        <v>10.16</v>
      </c>
      <c r="G73" s="127" t="s">
        <v>5</v>
      </c>
      <c r="H73" s="132">
        <v>1.76</v>
      </c>
      <c r="I73" s="140">
        <v>18</v>
      </c>
      <c r="J73" s="135" t="s">
        <v>1018</v>
      </c>
    </row>
    <row r="74" spans="1:10" s="126" customFormat="1" ht="13.5" thickBot="1">
      <c r="A74" s="126" t="s">
        <v>160</v>
      </c>
      <c r="B74" s="127" t="s">
        <v>1021</v>
      </c>
      <c r="C74" s="127">
        <v>5073</v>
      </c>
      <c r="D74" s="127" t="s">
        <v>131</v>
      </c>
      <c r="E74" s="126" t="s">
        <v>96</v>
      </c>
      <c r="F74" s="132">
        <v>0.26</v>
      </c>
      <c r="G74" s="127" t="s">
        <v>14</v>
      </c>
      <c r="H74" s="132">
        <v>22.11</v>
      </c>
      <c r="I74" s="140">
        <v>6</v>
      </c>
      <c r="J74" s="135" t="s">
        <v>1018</v>
      </c>
    </row>
    <row r="75" spans="1:10" ht="15.75" thickBot="1">
      <c r="A75" s="122" t="s">
        <v>161</v>
      </c>
      <c r="B75" s="123" t="s">
        <v>1022</v>
      </c>
      <c r="C75" s="123" t="s">
        <v>162</v>
      </c>
      <c r="D75" s="123" t="s">
        <v>131</v>
      </c>
      <c r="E75" s="122" t="s">
        <v>163</v>
      </c>
      <c r="F75" s="130">
        <v>224.41</v>
      </c>
      <c r="G75" s="123" t="s">
        <v>82</v>
      </c>
      <c r="H75" s="130">
        <v>35</v>
      </c>
      <c r="I75" s="139">
        <v>7854</v>
      </c>
      <c r="J75" s="134"/>
    </row>
    <row r="76" spans="1:10" s="126" customFormat="1" ht="13.5" thickBot="1">
      <c r="A76" s="126" t="s">
        <v>164</v>
      </c>
      <c r="B76" s="127" t="s">
        <v>1021</v>
      </c>
      <c r="C76" s="127" t="s">
        <v>165</v>
      </c>
      <c r="D76" s="127" t="s">
        <v>131</v>
      </c>
      <c r="E76" s="126" t="s">
        <v>166</v>
      </c>
      <c r="F76" s="132">
        <v>224.41</v>
      </c>
      <c r="G76" s="127" t="s">
        <v>82</v>
      </c>
      <c r="H76" s="132">
        <v>35</v>
      </c>
      <c r="I76" s="140">
        <v>7854</v>
      </c>
      <c r="J76" s="135" t="s">
        <v>1019</v>
      </c>
    </row>
    <row r="77" spans="1:10" ht="15.75" thickBot="1">
      <c r="A77" s="118">
        <v>-6</v>
      </c>
      <c r="B77" s="108" t="s">
        <v>1020</v>
      </c>
      <c r="C77" s="108">
        <v>6</v>
      </c>
      <c r="D77" s="108"/>
      <c r="E77" s="118" t="s">
        <v>167</v>
      </c>
      <c r="F77" s="129">
        <v>1684.46</v>
      </c>
      <c r="G77" s="108" t="s">
        <v>34</v>
      </c>
      <c r="H77" s="129">
        <v>241.85</v>
      </c>
      <c r="I77" s="138">
        <v>407382</v>
      </c>
      <c r="J77" s="110"/>
    </row>
    <row r="78" spans="1:10" ht="15.75" thickBot="1">
      <c r="A78" s="122" t="s">
        <v>168</v>
      </c>
      <c r="B78" s="123" t="s">
        <v>1022</v>
      </c>
      <c r="C78" s="123" t="s">
        <v>169</v>
      </c>
      <c r="D78" s="123"/>
      <c r="E78" s="122" t="s">
        <v>170</v>
      </c>
      <c r="F78" s="130">
        <v>27444.29</v>
      </c>
      <c r="G78" s="123" t="s">
        <v>50</v>
      </c>
      <c r="H78" s="130">
        <v>9.75</v>
      </c>
      <c r="I78" s="139">
        <v>267446</v>
      </c>
      <c r="J78" s="134"/>
    </row>
    <row r="79" spans="1:10" s="126" customFormat="1" ht="12.75">
      <c r="A79" s="126" t="s">
        <v>171</v>
      </c>
      <c r="B79" s="127" t="s">
        <v>1021</v>
      </c>
      <c r="C79" s="127">
        <v>34547</v>
      </c>
      <c r="D79" s="127" t="s">
        <v>167</v>
      </c>
      <c r="E79" s="126" t="s">
        <v>172</v>
      </c>
      <c r="F79" s="132">
        <v>26264.19</v>
      </c>
      <c r="G79" s="127" t="s">
        <v>5</v>
      </c>
      <c r="H79" s="132">
        <v>7.39</v>
      </c>
      <c r="I79" s="140">
        <v>194092</v>
      </c>
      <c r="J79" s="135" t="s">
        <v>1018</v>
      </c>
    </row>
    <row r="80" spans="1:10" s="126" customFormat="1" ht="12.75">
      <c r="A80" s="126" t="s">
        <v>173</v>
      </c>
      <c r="B80" s="127" t="s">
        <v>1021</v>
      </c>
      <c r="C80" s="127">
        <v>34588</v>
      </c>
      <c r="D80" s="127" t="s">
        <v>167</v>
      </c>
      <c r="E80" s="126" t="s">
        <v>174</v>
      </c>
      <c r="F80" s="132">
        <v>14852.85</v>
      </c>
      <c r="G80" s="127" t="s">
        <v>50</v>
      </c>
      <c r="H80" s="132">
        <v>2.7</v>
      </c>
      <c r="I80" s="140">
        <v>40103</v>
      </c>
      <c r="J80" s="135" t="s">
        <v>1018</v>
      </c>
    </row>
    <row r="81" spans="1:10" s="126" customFormat="1" ht="12.75">
      <c r="A81" s="126" t="s">
        <v>175</v>
      </c>
      <c r="B81" s="127" t="s">
        <v>1021</v>
      </c>
      <c r="C81" s="127">
        <v>34655</v>
      </c>
      <c r="D81" s="127" t="s">
        <v>167</v>
      </c>
      <c r="E81" s="126" t="s">
        <v>176</v>
      </c>
      <c r="F81" s="132">
        <v>3954.72</v>
      </c>
      <c r="G81" s="127" t="s">
        <v>50</v>
      </c>
      <c r="H81" s="132">
        <v>3.22</v>
      </c>
      <c r="I81" s="140">
        <v>12734</v>
      </c>
      <c r="J81" s="135" t="s">
        <v>1018</v>
      </c>
    </row>
    <row r="82" spans="1:10" s="126" customFormat="1" ht="12.75">
      <c r="A82" s="126" t="s">
        <v>177</v>
      </c>
      <c r="B82" s="127" t="s">
        <v>1021</v>
      </c>
      <c r="C82" s="127">
        <v>34781</v>
      </c>
      <c r="D82" s="127" t="s">
        <v>167</v>
      </c>
      <c r="E82" s="126" t="s">
        <v>178</v>
      </c>
      <c r="F82" s="132">
        <v>7909.44</v>
      </c>
      <c r="G82" s="127" t="s">
        <v>50</v>
      </c>
      <c r="H82" s="132">
        <v>1.54</v>
      </c>
      <c r="I82" s="140">
        <v>12181</v>
      </c>
      <c r="J82" s="135" t="s">
        <v>1018</v>
      </c>
    </row>
    <row r="83" spans="1:10" s="126" customFormat="1" ht="12.75">
      <c r="A83" s="126" t="s">
        <v>179</v>
      </c>
      <c r="B83" s="127" t="s">
        <v>1021</v>
      </c>
      <c r="C83" s="127">
        <v>38548</v>
      </c>
      <c r="D83" s="127" t="s">
        <v>167</v>
      </c>
      <c r="E83" s="126" t="s">
        <v>180</v>
      </c>
      <c r="F83" s="132">
        <v>483.02</v>
      </c>
      <c r="G83" s="127" t="s">
        <v>50</v>
      </c>
      <c r="H83" s="132">
        <v>1.79</v>
      </c>
      <c r="I83" s="140">
        <v>865</v>
      </c>
      <c r="J83" s="135" t="s">
        <v>1018</v>
      </c>
    </row>
    <row r="84" spans="1:10" s="126" customFormat="1" ht="13.5" thickBot="1">
      <c r="A84" s="126" t="s">
        <v>181</v>
      </c>
      <c r="B84" s="127" t="s">
        <v>1021</v>
      </c>
      <c r="C84" s="127">
        <v>38603</v>
      </c>
      <c r="D84" s="127" t="s">
        <v>167</v>
      </c>
      <c r="E84" s="126" t="s">
        <v>182</v>
      </c>
      <c r="F84" s="132">
        <v>2988.68</v>
      </c>
      <c r="G84" s="127" t="s">
        <v>50</v>
      </c>
      <c r="H84" s="132">
        <v>2.5</v>
      </c>
      <c r="I84" s="140">
        <v>7472</v>
      </c>
      <c r="J84" s="135" t="s">
        <v>1018</v>
      </c>
    </row>
    <row r="85" spans="1:10" ht="15.75" thickBot="1">
      <c r="A85" s="122" t="s">
        <v>183</v>
      </c>
      <c r="B85" s="123" t="s">
        <v>1022</v>
      </c>
      <c r="C85" s="123" t="s">
        <v>184</v>
      </c>
      <c r="D85" s="123" t="s">
        <v>167</v>
      </c>
      <c r="E85" s="122" t="s">
        <v>185</v>
      </c>
      <c r="F85" s="130">
        <v>41084.269999999997</v>
      </c>
      <c r="G85" s="123" t="s">
        <v>14</v>
      </c>
      <c r="H85" s="130">
        <v>0.61</v>
      </c>
      <c r="I85" s="139">
        <v>24856</v>
      </c>
      <c r="J85" s="134"/>
    </row>
    <row r="86" spans="1:10" s="126" customFormat="1" ht="13.5" thickBot="1">
      <c r="A86" s="126" t="s">
        <v>186</v>
      </c>
      <c r="B86" s="127" t="s">
        <v>1021</v>
      </c>
      <c r="C86" s="127">
        <v>371</v>
      </c>
      <c r="D86" s="127" t="s">
        <v>167</v>
      </c>
      <c r="E86" s="126" t="s">
        <v>187</v>
      </c>
      <c r="F86" s="132">
        <v>45192.7</v>
      </c>
      <c r="G86" s="127" t="s">
        <v>14</v>
      </c>
      <c r="H86" s="132">
        <v>0.55000000000000004</v>
      </c>
      <c r="I86" s="140">
        <v>24856</v>
      </c>
      <c r="J86" s="135" t="s">
        <v>1018</v>
      </c>
    </row>
    <row r="87" spans="1:10" ht="15.75" thickBot="1">
      <c r="A87" s="122" t="s">
        <v>188</v>
      </c>
      <c r="B87" s="123" t="s">
        <v>1022</v>
      </c>
      <c r="C87" s="123" t="s">
        <v>189</v>
      </c>
      <c r="D87" s="123" t="s">
        <v>167</v>
      </c>
      <c r="E87" s="122" t="s">
        <v>190</v>
      </c>
      <c r="F87" s="130">
        <v>2793.73</v>
      </c>
      <c r="G87" s="123" t="s">
        <v>14</v>
      </c>
      <c r="H87" s="130">
        <v>12.04</v>
      </c>
      <c r="I87" s="139">
        <v>33634</v>
      </c>
      <c r="J87" s="134"/>
    </row>
    <row r="88" spans="1:10" s="126" customFormat="1" ht="12.75">
      <c r="A88" s="126" t="s">
        <v>191</v>
      </c>
      <c r="B88" s="127" t="s">
        <v>1021</v>
      </c>
      <c r="C88" s="127" t="s">
        <v>41</v>
      </c>
      <c r="D88" s="127" t="s">
        <v>167</v>
      </c>
      <c r="E88" s="126" t="s">
        <v>42</v>
      </c>
      <c r="F88" s="132">
        <v>2793.73</v>
      </c>
      <c r="G88" s="127" t="s">
        <v>14</v>
      </c>
      <c r="H88" s="132">
        <v>0.5</v>
      </c>
      <c r="I88" s="140">
        <v>1397</v>
      </c>
      <c r="J88" s="135" t="s">
        <v>1018</v>
      </c>
    </row>
    <row r="89" spans="1:10" s="126" customFormat="1" ht="13.5" thickBot="1">
      <c r="A89" s="126" t="s">
        <v>192</v>
      </c>
      <c r="B89" s="127" t="s">
        <v>1021</v>
      </c>
      <c r="C89" s="127">
        <v>43055</v>
      </c>
      <c r="D89" s="127" t="s">
        <v>167</v>
      </c>
      <c r="E89" s="126" t="s">
        <v>52</v>
      </c>
      <c r="F89" s="132">
        <v>3073.1</v>
      </c>
      <c r="G89" s="127" t="s">
        <v>14</v>
      </c>
      <c r="H89" s="132">
        <v>10.49</v>
      </c>
      <c r="I89" s="140">
        <v>32237</v>
      </c>
      <c r="J89" s="135" t="s">
        <v>1018</v>
      </c>
    </row>
    <row r="90" spans="1:10" ht="15.75" thickBot="1">
      <c r="A90" s="122" t="s">
        <v>193</v>
      </c>
      <c r="B90" s="123" t="s">
        <v>1022</v>
      </c>
      <c r="C90" s="123" t="s">
        <v>194</v>
      </c>
      <c r="D90" s="123" t="s">
        <v>167</v>
      </c>
      <c r="E90" s="122" t="s">
        <v>195</v>
      </c>
      <c r="F90" s="130">
        <v>41.08</v>
      </c>
      <c r="G90" s="123" t="s">
        <v>34</v>
      </c>
      <c r="H90" s="130">
        <v>550</v>
      </c>
      <c r="I90" s="139">
        <v>22596</v>
      </c>
      <c r="J90" s="134"/>
    </row>
    <row r="91" spans="1:10" s="126" customFormat="1" ht="13.5" thickBot="1">
      <c r="A91" s="126" t="s">
        <v>196</v>
      </c>
      <c r="B91" s="127" t="s">
        <v>1021</v>
      </c>
      <c r="C91" s="127" t="s">
        <v>197</v>
      </c>
      <c r="D91" s="127" t="s">
        <v>167</v>
      </c>
      <c r="E91" s="126" t="s">
        <v>198</v>
      </c>
      <c r="F91" s="132">
        <v>45.19</v>
      </c>
      <c r="G91" s="127" t="s">
        <v>34</v>
      </c>
      <c r="H91" s="132">
        <v>500</v>
      </c>
      <c r="I91" s="140">
        <v>22596</v>
      </c>
      <c r="J91" s="135" t="s">
        <v>1018</v>
      </c>
    </row>
    <row r="92" spans="1:10" ht="15.75" thickBot="1">
      <c r="A92" s="122" t="s">
        <v>199</v>
      </c>
      <c r="B92" s="123" t="s">
        <v>1022</v>
      </c>
      <c r="C92" s="123" t="s">
        <v>200</v>
      </c>
      <c r="D92" s="123" t="s">
        <v>167</v>
      </c>
      <c r="E92" s="122" t="s">
        <v>201</v>
      </c>
      <c r="F92" s="130">
        <v>1643.37</v>
      </c>
      <c r="G92" s="123" t="s">
        <v>34</v>
      </c>
      <c r="H92" s="130">
        <v>29</v>
      </c>
      <c r="I92" s="139">
        <v>47658</v>
      </c>
      <c r="J92" s="134"/>
    </row>
    <row r="93" spans="1:10" s="126" customFormat="1" ht="13.5" thickBot="1">
      <c r="A93" s="126" t="s">
        <v>202</v>
      </c>
      <c r="B93" s="127" t="s">
        <v>1021</v>
      </c>
      <c r="C93" s="127" t="s">
        <v>203</v>
      </c>
      <c r="D93" s="127" t="s">
        <v>167</v>
      </c>
      <c r="E93" s="126" t="s">
        <v>204</v>
      </c>
      <c r="F93" s="132">
        <v>1643.37</v>
      </c>
      <c r="G93" s="127" t="s">
        <v>34</v>
      </c>
      <c r="H93" s="132">
        <v>29</v>
      </c>
      <c r="I93" s="140">
        <v>47658</v>
      </c>
      <c r="J93" s="135" t="s">
        <v>1019</v>
      </c>
    </row>
    <row r="94" spans="1:10" ht="15.75" thickBot="1">
      <c r="A94" s="122" t="s">
        <v>205</v>
      </c>
      <c r="B94" s="123" t="s">
        <v>1022</v>
      </c>
      <c r="C94" s="123" t="s">
        <v>206</v>
      </c>
      <c r="D94" s="123" t="s">
        <v>167</v>
      </c>
      <c r="E94" s="122" t="s">
        <v>207</v>
      </c>
      <c r="F94" s="130">
        <v>1328.76</v>
      </c>
      <c r="G94" s="123" t="s">
        <v>5</v>
      </c>
      <c r="H94" s="130">
        <v>1.8</v>
      </c>
      <c r="I94" s="139">
        <v>2392</v>
      </c>
      <c r="J94" s="134"/>
    </row>
    <row r="95" spans="1:10" s="126" customFormat="1" ht="13.5" thickBot="1">
      <c r="A95" s="126" t="s">
        <v>208</v>
      </c>
      <c r="B95" s="127" t="s">
        <v>1021</v>
      </c>
      <c r="C95" s="127">
        <v>2687</v>
      </c>
      <c r="D95" s="127" t="s">
        <v>167</v>
      </c>
      <c r="E95" s="126" t="s">
        <v>209</v>
      </c>
      <c r="F95" s="132">
        <v>1328.76</v>
      </c>
      <c r="G95" s="127" t="s">
        <v>5</v>
      </c>
      <c r="H95" s="132">
        <v>1.8</v>
      </c>
      <c r="I95" s="140">
        <v>2392</v>
      </c>
      <c r="J95" s="135" t="s">
        <v>1018</v>
      </c>
    </row>
    <row r="96" spans="1:10" ht="15.75" thickBot="1">
      <c r="A96" s="122" t="s">
        <v>210</v>
      </c>
      <c r="B96" s="123" t="s">
        <v>1022</v>
      </c>
      <c r="C96" s="123" t="s">
        <v>211</v>
      </c>
      <c r="D96" s="123" t="s">
        <v>167</v>
      </c>
      <c r="E96" s="122" t="s">
        <v>212</v>
      </c>
      <c r="F96" s="130">
        <v>16</v>
      </c>
      <c r="G96" s="123" t="s">
        <v>213</v>
      </c>
      <c r="H96" s="130">
        <v>550</v>
      </c>
      <c r="I96" s="139">
        <v>8800</v>
      </c>
      <c r="J96" s="134"/>
    </row>
    <row r="97" spans="1:10" s="126" customFormat="1" ht="13.5" thickBot="1">
      <c r="A97" s="126" t="s">
        <v>214</v>
      </c>
      <c r="B97" s="127" t="s">
        <v>1021</v>
      </c>
      <c r="C97" s="127" t="s">
        <v>215</v>
      </c>
      <c r="D97" s="127" t="s">
        <v>167</v>
      </c>
      <c r="E97" s="126" t="s">
        <v>216</v>
      </c>
      <c r="F97" s="132">
        <v>17.600000000000001</v>
      </c>
      <c r="G97" s="127" t="s">
        <v>213</v>
      </c>
      <c r="H97" s="132">
        <v>500</v>
      </c>
      <c r="I97" s="140">
        <v>8800</v>
      </c>
      <c r="J97" s="135" t="s">
        <v>1019</v>
      </c>
    </row>
    <row r="98" spans="1:10" ht="15.75" thickBot="1">
      <c r="A98" s="118">
        <v>-7</v>
      </c>
      <c r="B98" s="108" t="s">
        <v>1020</v>
      </c>
      <c r="C98" s="108">
        <v>7</v>
      </c>
      <c r="D98" s="108"/>
      <c r="E98" s="118" t="s">
        <v>217</v>
      </c>
      <c r="F98" s="129">
        <v>219.93</v>
      </c>
      <c r="G98" s="108" t="s">
        <v>34</v>
      </c>
      <c r="H98" s="129">
        <v>1195.24</v>
      </c>
      <c r="I98" s="138">
        <v>262864</v>
      </c>
      <c r="J98" s="110"/>
    </row>
    <row r="99" spans="1:10" ht="15.75" thickBot="1">
      <c r="A99" s="122" t="s">
        <v>218</v>
      </c>
      <c r="B99" s="123" t="s">
        <v>1022</v>
      </c>
      <c r="C99" s="123" t="s">
        <v>219</v>
      </c>
      <c r="D99" s="123" t="s">
        <v>217</v>
      </c>
      <c r="E99" s="122" t="s">
        <v>220</v>
      </c>
      <c r="F99" s="130">
        <v>8244.1200000000008</v>
      </c>
      <c r="G99" s="123" t="s">
        <v>14</v>
      </c>
      <c r="H99" s="130">
        <v>14.1</v>
      </c>
      <c r="I99" s="139">
        <v>116205</v>
      </c>
      <c r="J99" s="134"/>
    </row>
    <row r="100" spans="1:10" s="126" customFormat="1" ht="12.75">
      <c r="A100" s="126" t="s">
        <v>221</v>
      </c>
      <c r="B100" s="127" t="s">
        <v>1021</v>
      </c>
      <c r="C100" s="127" t="s">
        <v>41</v>
      </c>
      <c r="D100" s="127" t="s">
        <v>217</v>
      </c>
      <c r="E100" s="126" t="s">
        <v>42</v>
      </c>
      <c r="F100" s="132">
        <v>8244.1200000000008</v>
      </c>
      <c r="G100" s="127" t="s">
        <v>222</v>
      </c>
      <c r="H100" s="132">
        <v>0.5</v>
      </c>
      <c r="I100" s="140">
        <v>4122</v>
      </c>
      <c r="J100" s="135" t="s">
        <v>1018</v>
      </c>
    </row>
    <row r="101" spans="1:10" s="126" customFormat="1" ht="12.75">
      <c r="A101" s="126" t="s">
        <v>223</v>
      </c>
      <c r="B101" s="127" t="s">
        <v>1021</v>
      </c>
      <c r="C101" s="127" t="s">
        <v>44</v>
      </c>
      <c r="D101" s="127" t="s">
        <v>217</v>
      </c>
      <c r="E101" s="126" t="s">
        <v>45</v>
      </c>
      <c r="F101" s="132">
        <v>8244.1200000000008</v>
      </c>
      <c r="G101" s="127" t="s">
        <v>222</v>
      </c>
      <c r="H101" s="132">
        <v>1</v>
      </c>
      <c r="I101" s="140">
        <v>8244</v>
      </c>
      <c r="J101" s="135" t="s">
        <v>1018</v>
      </c>
    </row>
    <row r="102" spans="1:10" s="126" customFormat="1" ht="12.75">
      <c r="A102" s="126" t="s">
        <v>224</v>
      </c>
      <c r="B102" s="127" t="s">
        <v>1021</v>
      </c>
      <c r="C102" s="127">
        <v>32</v>
      </c>
      <c r="D102" s="127" t="s">
        <v>217</v>
      </c>
      <c r="E102" s="126" t="s">
        <v>47</v>
      </c>
      <c r="F102" s="132">
        <v>1360.28</v>
      </c>
      <c r="G102" s="127" t="s">
        <v>222</v>
      </c>
      <c r="H102" s="132">
        <v>12.78</v>
      </c>
      <c r="I102" s="140">
        <v>17384</v>
      </c>
      <c r="J102" s="135" t="s">
        <v>1018</v>
      </c>
    </row>
    <row r="103" spans="1:10" s="126" customFormat="1" ht="12.75">
      <c r="A103" s="126" t="s">
        <v>225</v>
      </c>
      <c r="B103" s="127" t="s">
        <v>1021</v>
      </c>
      <c r="C103" s="127">
        <v>39017</v>
      </c>
      <c r="D103" s="127" t="s">
        <v>217</v>
      </c>
      <c r="E103" s="126" t="s">
        <v>49</v>
      </c>
      <c r="F103" s="132">
        <v>2497.48</v>
      </c>
      <c r="G103" s="127" t="s">
        <v>222</v>
      </c>
      <c r="H103" s="132">
        <v>0.13</v>
      </c>
      <c r="I103" s="140">
        <v>325</v>
      </c>
      <c r="J103" s="135" t="s">
        <v>1018</v>
      </c>
    </row>
    <row r="104" spans="1:10" s="126" customFormat="1" ht="12.75">
      <c r="A104" s="126" t="s">
        <v>226</v>
      </c>
      <c r="B104" s="127" t="s">
        <v>1021</v>
      </c>
      <c r="C104" s="127">
        <v>43055</v>
      </c>
      <c r="D104" s="127" t="s">
        <v>217</v>
      </c>
      <c r="E104" s="126" t="s">
        <v>52</v>
      </c>
      <c r="F104" s="132">
        <v>7708.26</v>
      </c>
      <c r="G104" s="127" t="s">
        <v>222</v>
      </c>
      <c r="H104" s="132">
        <v>10.49</v>
      </c>
      <c r="I104" s="140">
        <v>80860</v>
      </c>
      <c r="J104" s="135" t="s">
        <v>1018</v>
      </c>
    </row>
    <row r="105" spans="1:10" s="126" customFormat="1" ht="13.5" thickBot="1">
      <c r="A105" s="126" t="s">
        <v>227</v>
      </c>
      <c r="B105" s="127" t="s">
        <v>1021</v>
      </c>
      <c r="C105" s="127">
        <v>43132</v>
      </c>
      <c r="D105" s="127" t="s">
        <v>217</v>
      </c>
      <c r="E105" s="126" t="s">
        <v>54</v>
      </c>
      <c r="F105" s="132">
        <v>204.04</v>
      </c>
      <c r="G105" s="127" t="s">
        <v>222</v>
      </c>
      <c r="H105" s="132">
        <v>25.83</v>
      </c>
      <c r="I105" s="140">
        <v>5270</v>
      </c>
      <c r="J105" s="135" t="s">
        <v>1018</v>
      </c>
    </row>
    <row r="106" spans="1:10" ht="15.75" thickBot="1">
      <c r="A106" s="122" t="s">
        <v>228</v>
      </c>
      <c r="B106" s="123" t="s">
        <v>1022</v>
      </c>
      <c r="C106" s="123" t="s">
        <v>229</v>
      </c>
      <c r="D106" s="123" t="s">
        <v>217</v>
      </c>
      <c r="E106" s="122" t="s">
        <v>230</v>
      </c>
      <c r="F106" s="130">
        <v>103.05</v>
      </c>
      <c r="G106" s="123" t="s">
        <v>34</v>
      </c>
      <c r="H106" s="130">
        <v>492.71</v>
      </c>
      <c r="I106" s="139">
        <v>50775</v>
      </c>
      <c r="J106" s="134"/>
    </row>
    <row r="107" spans="1:10" s="126" customFormat="1" ht="13.5" thickBot="1">
      <c r="A107" s="126" t="s">
        <v>231</v>
      </c>
      <c r="B107" s="127" t="s">
        <v>1021</v>
      </c>
      <c r="C107" s="127">
        <v>43360</v>
      </c>
      <c r="D107" s="127" t="s">
        <v>217</v>
      </c>
      <c r="E107" s="126" t="s">
        <v>36</v>
      </c>
      <c r="F107" s="132">
        <v>113.36</v>
      </c>
      <c r="G107" s="127" t="s">
        <v>34</v>
      </c>
      <c r="H107" s="132">
        <v>447.92</v>
      </c>
      <c r="I107" s="140">
        <v>50775</v>
      </c>
      <c r="J107" s="135" t="s">
        <v>1019</v>
      </c>
    </row>
    <row r="108" spans="1:10" ht="15.75" thickBot="1">
      <c r="A108" s="122" t="s">
        <v>232</v>
      </c>
      <c r="B108" s="123" t="s">
        <v>1022</v>
      </c>
      <c r="C108" s="123" t="s">
        <v>233</v>
      </c>
      <c r="D108" s="123" t="s">
        <v>217</v>
      </c>
      <c r="E108" s="122" t="s">
        <v>234</v>
      </c>
      <c r="F108" s="130">
        <v>895.65</v>
      </c>
      <c r="G108" s="123" t="s">
        <v>82</v>
      </c>
      <c r="H108" s="130">
        <v>41.01</v>
      </c>
      <c r="I108" s="139">
        <v>36733</v>
      </c>
      <c r="J108" s="134"/>
    </row>
    <row r="109" spans="1:10" s="126" customFormat="1" ht="12.75">
      <c r="A109" s="126" t="s">
        <v>235</v>
      </c>
      <c r="B109" s="127" t="s">
        <v>1021</v>
      </c>
      <c r="C109" s="127">
        <v>1358</v>
      </c>
      <c r="D109" s="127" t="s">
        <v>217</v>
      </c>
      <c r="E109" s="126" t="s">
        <v>84</v>
      </c>
      <c r="F109" s="132">
        <v>492.61</v>
      </c>
      <c r="G109" s="127" t="s">
        <v>82</v>
      </c>
      <c r="H109" s="132">
        <v>46.86</v>
      </c>
      <c r="I109" s="140">
        <v>23084</v>
      </c>
      <c r="J109" s="135" t="s">
        <v>1018</v>
      </c>
    </row>
    <row r="110" spans="1:10" s="126" customFormat="1" ht="12.75">
      <c r="A110" s="126" t="s">
        <v>236</v>
      </c>
      <c r="B110" s="127" t="s">
        <v>1021</v>
      </c>
      <c r="C110" s="127">
        <v>20247</v>
      </c>
      <c r="D110" s="127" t="s">
        <v>217</v>
      </c>
      <c r="E110" s="126" t="s">
        <v>86</v>
      </c>
      <c r="F110" s="132">
        <v>6.27</v>
      </c>
      <c r="G110" s="127" t="s">
        <v>14</v>
      </c>
      <c r="H110" s="132">
        <v>24.02</v>
      </c>
      <c r="I110" s="140">
        <v>151</v>
      </c>
      <c r="J110" s="135" t="s">
        <v>1018</v>
      </c>
    </row>
    <row r="111" spans="1:10" s="126" customFormat="1" ht="12.75">
      <c r="A111" s="126" t="s">
        <v>237</v>
      </c>
      <c r="B111" s="127" t="s">
        <v>1021</v>
      </c>
      <c r="C111" s="127">
        <v>2692</v>
      </c>
      <c r="D111" s="127" t="s">
        <v>217</v>
      </c>
      <c r="E111" s="126" t="s">
        <v>88</v>
      </c>
      <c r="F111" s="132">
        <v>8.9600000000000009</v>
      </c>
      <c r="G111" s="127" t="s">
        <v>17</v>
      </c>
      <c r="H111" s="132">
        <v>5.29</v>
      </c>
      <c r="I111" s="140">
        <v>47</v>
      </c>
      <c r="J111" s="135" t="s">
        <v>1018</v>
      </c>
    </row>
    <row r="112" spans="1:10" s="126" customFormat="1" ht="12.75">
      <c r="A112" s="126" t="s">
        <v>238</v>
      </c>
      <c r="B112" s="127" t="s">
        <v>1021</v>
      </c>
      <c r="C112" s="127">
        <v>40304</v>
      </c>
      <c r="D112" s="127" t="s">
        <v>217</v>
      </c>
      <c r="E112" s="126" t="s">
        <v>90</v>
      </c>
      <c r="F112" s="132">
        <v>8.9600000000000009</v>
      </c>
      <c r="G112" s="127" t="s">
        <v>14</v>
      </c>
      <c r="H112" s="132">
        <v>26.78</v>
      </c>
      <c r="I112" s="140">
        <v>240</v>
      </c>
      <c r="J112" s="135" t="s">
        <v>1018</v>
      </c>
    </row>
    <row r="113" spans="1:10" s="126" customFormat="1" ht="12.75">
      <c r="A113" s="126" t="s">
        <v>239</v>
      </c>
      <c r="B113" s="127" t="s">
        <v>1021</v>
      </c>
      <c r="C113" s="127">
        <v>4491</v>
      </c>
      <c r="D113" s="127" t="s">
        <v>217</v>
      </c>
      <c r="E113" s="126" t="s">
        <v>92</v>
      </c>
      <c r="F113" s="132">
        <v>2054.62</v>
      </c>
      <c r="G113" s="127" t="s">
        <v>5</v>
      </c>
      <c r="H113" s="132">
        <v>5.05</v>
      </c>
      <c r="I113" s="140">
        <v>10376</v>
      </c>
      <c r="J113" s="135" t="s">
        <v>1018</v>
      </c>
    </row>
    <row r="114" spans="1:10" s="126" customFormat="1" ht="12.75">
      <c r="A114" s="126" t="s">
        <v>240</v>
      </c>
      <c r="B114" s="127" t="s">
        <v>1021</v>
      </c>
      <c r="C114" s="127">
        <v>4517</v>
      </c>
      <c r="D114" s="127" t="s">
        <v>217</v>
      </c>
      <c r="E114" s="126" t="s">
        <v>94</v>
      </c>
      <c r="F114" s="132">
        <v>1217.19</v>
      </c>
      <c r="G114" s="127" t="s">
        <v>5</v>
      </c>
      <c r="H114" s="132">
        <v>1.76</v>
      </c>
      <c r="I114" s="140">
        <v>2142</v>
      </c>
      <c r="J114" s="135" t="s">
        <v>1018</v>
      </c>
    </row>
    <row r="115" spans="1:10" s="126" customFormat="1" ht="13.5" thickBot="1">
      <c r="A115" s="126" t="s">
        <v>241</v>
      </c>
      <c r="B115" s="127" t="s">
        <v>1021</v>
      </c>
      <c r="C115" s="127">
        <v>5073</v>
      </c>
      <c r="D115" s="127" t="s">
        <v>217</v>
      </c>
      <c r="E115" s="126" t="s">
        <v>96</v>
      </c>
      <c r="F115" s="132">
        <v>31.35</v>
      </c>
      <c r="G115" s="127" t="s">
        <v>14</v>
      </c>
      <c r="H115" s="132">
        <v>22.11</v>
      </c>
      <c r="I115" s="140">
        <v>693</v>
      </c>
      <c r="J115" s="135" t="s">
        <v>1018</v>
      </c>
    </row>
    <row r="116" spans="1:10" ht="15.75" thickBot="1">
      <c r="A116" s="122" t="s">
        <v>242</v>
      </c>
      <c r="B116" s="123" t="s">
        <v>1022</v>
      </c>
      <c r="C116" s="123" t="s">
        <v>243</v>
      </c>
      <c r="D116" s="123" t="s">
        <v>217</v>
      </c>
      <c r="E116" s="122" t="s">
        <v>244</v>
      </c>
      <c r="F116" s="130">
        <v>103.05</v>
      </c>
      <c r="G116" s="123" t="s">
        <v>34</v>
      </c>
      <c r="H116" s="130">
        <v>400</v>
      </c>
      <c r="I116" s="139">
        <v>41221</v>
      </c>
      <c r="J116" s="134"/>
    </row>
    <row r="117" spans="1:10" s="126" customFormat="1" ht="13.5" thickBot="1">
      <c r="A117" s="126" t="s">
        <v>245</v>
      </c>
      <c r="B117" s="127" t="s">
        <v>1021</v>
      </c>
      <c r="C117" s="127" t="s">
        <v>101</v>
      </c>
      <c r="D117" s="127" t="s">
        <v>217</v>
      </c>
      <c r="E117" s="126" t="s">
        <v>102</v>
      </c>
      <c r="F117" s="132">
        <v>103.05</v>
      </c>
      <c r="G117" s="127" t="s">
        <v>34</v>
      </c>
      <c r="H117" s="132">
        <v>400</v>
      </c>
      <c r="I117" s="140">
        <v>41221</v>
      </c>
      <c r="J117" s="135" t="s">
        <v>1019</v>
      </c>
    </row>
    <row r="118" spans="1:10" ht="15.75" thickBot="1">
      <c r="A118" s="122" t="s">
        <v>246</v>
      </c>
      <c r="B118" s="123" t="s">
        <v>1022</v>
      </c>
      <c r="C118" s="123" t="s">
        <v>247</v>
      </c>
      <c r="D118" s="123" t="s">
        <v>217</v>
      </c>
      <c r="E118" s="122" t="s">
        <v>248</v>
      </c>
      <c r="F118" s="130">
        <v>414.67</v>
      </c>
      <c r="G118" s="123" t="s">
        <v>14</v>
      </c>
      <c r="H118" s="130">
        <v>14.1</v>
      </c>
      <c r="I118" s="139">
        <v>5845</v>
      </c>
      <c r="J118" s="134"/>
    </row>
    <row r="119" spans="1:10" s="126" customFormat="1" ht="12.75">
      <c r="A119" s="126" t="s">
        <v>249</v>
      </c>
      <c r="B119" s="127" t="s">
        <v>1021</v>
      </c>
      <c r="C119" s="127" t="s">
        <v>41</v>
      </c>
      <c r="D119" s="127" t="s">
        <v>217</v>
      </c>
      <c r="E119" s="126" t="s">
        <v>42</v>
      </c>
      <c r="F119" s="132">
        <v>414.67</v>
      </c>
      <c r="G119" s="127" t="s">
        <v>222</v>
      </c>
      <c r="H119" s="132">
        <v>0.5</v>
      </c>
      <c r="I119" s="140">
        <v>207</v>
      </c>
      <c r="J119" s="135" t="s">
        <v>1018</v>
      </c>
    </row>
    <row r="120" spans="1:10" s="126" customFormat="1" ht="12.75">
      <c r="A120" s="126" t="s">
        <v>250</v>
      </c>
      <c r="B120" s="127" t="s">
        <v>1021</v>
      </c>
      <c r="C120" s="127" t="s">
        <v>44</v>
      </c>
      <c r="D120" s="127" t="s">
        <v>217</v>
      </c>
      <c r="E120" s="126" t="s">
        <v>45</v>
      </c>
      <c r="F120" s="132">
        <v>414.67</v>
      </c>
      <c r="G120" s="127" t="s">
        <v>222</v>
      </c>
      <c r="H120" s="132">
        <v>1</v>
      </c>
      <c r="I120" s="140">
        <v>415</v>
      </c>
      <c r="J120" s="135" t="s">
        <v>1018</v>
      </c>
    </row>
    <row r="121" spans="1:10" s="126" customFormat="1" ht="12.75">
      <c r="A121" s="126" t="s">
        <v>251</v>
      </c>
      <c r="B121" s="127" t="s">
        <v>1021</v>
      </c>
      <c r="C121" s="127">
        <v>32</v>
      </c>
      <c r="D121" s="127" t="s">
        <v>217</v>
      </c>
      <c r="E121" s="126" t="s">
        <v>47</v>
      </c>
      <c r="F121" s="132">
        <v>68.42</v>
      </c>
      <c r="G121" s="127" t="s">
        <v>222</v>
      </c>
      <c r="H121" s="132">
        <v>12.78</v>
      </c>
      <c r="I121" s="140">
        <v>874</v>
      </c>
      <c r="J121" s="135" t="s">
        <v>1018</v>
      </c>
    </row>
    <row r="122" spans="1:10" s="126" customFormat="1" ht="12.75">
      <c r="A122" s="126" t="s">
        <v>252</v>
      </c>
      <c r="B122" s="127" t="s">
        <v>1021</v>
      </c>
      <c r="C122" s="127">
        <v>39017</v>
      </c>
      <c r="D122" s="127" t="s">
        <v>217</v>
      </c>
      <c r="E122" s="126" t="s">
        <v>49</v>
      </c>
      <c r="F122" s="132">
        <v>125.62</v>
      </c>
      <c r="G122" s="127" t="s">
        <v>222</v>
      </c>
      <c r="H122" s="132">
        <v>0.13</v>
      </c>
      <c r="I122" s="140">
        <v>16</v>
      </c>
      <c r="J122" s="135" t="s">
        <v>1018</v>
      </c>
    </row>
    <row r="123" spans="1:10" s="126" customFormat="1" ht="12.75">
      <c r="A123" s="126" t="s">
        <v>253</v>
      </c>
      <c r="B123" s="127" t="s">
        <v>1021</v>
      </c>
      <c r="C123" s="127">
        <v>43055</v>
      </c>
      <c r="D123" s="127" t="s">
        <v>217</v>
      </c>
      <c r="E123" s="126" t="s">
        <v>52</v>
      </c>
      <c r="F123" s="132">
        <v>387.71</v>
      </c>
      <c r="G123" s="127" t="s">
        <v>222</v>
      </c>
      <c r="H123" s="132">
        <v>10.49</v>
      </c>
      <c r="I123" s="140">
        <v>4067</v>
      </c>
      <c r="J123" s="135" t="s">
        <v>1018</v>
      </c>
    </row>
    <row r="124" spans="1:10" s="126" customFormat="1" ht="13.5" thickBot="1">
      <c r="A124" s="126" t="s">
        <v>254</v>
      </c>
      <c r="B124" s="127" t="s">
        <v>1021</v>
      </c>
      <c r="C124" s="127">
        <v>43132</v>
      </c>
      <c r="D124" s="127" t="s">
        <v>217</v>
      </c>
      <c r="E124" s="126" t="s">
        <v>54</v>
      </c>
      <c r="F124" s="132">
        <v>10.26</v>
      </c>
      <c r="G124" s="127" t="s">
        <v>222</v>
      </c>
      <c r="H124" s="132">
        <v>25.83</v>
      </c>
      <c r="I124" s="140">
        <v>265</v>
      </c>
      <c r="J124" s="135" t="s">
        <v>1018</v>
      </c>
    </row>
    <row r="125" spans="1:10" ht="15.75" thickBot="1">
      <c r="A125" s="122" t="s">
        <v>255</v>
      </c>
      <c r="B125" s="123" t="s">
        <v>1022</v>
      </c>
      <c r="C125" s="123" t="s">
        <v>256</v>
      </c>
      <c r="D125" s="123" t="s">
        <v>217</v>
      </c>
      <c r="E125" s="122" t="s">
        <v>257</v>
      </c>
      <c r="F125" s="130">
        <v>6.91</v>
      </c>
      <c r="G125" s="123" t="s">
        <v>34</v>
      </c>
      <c r="H125" s="130">
        <v>492.71</v>
      </c>
      <c r="I125" s="139">
        <v>3405</v>
      </c>
      <c r="J125" s="134"/>
    </row>
    <row r="126" spans="1:10" s="126" customFormat="1" ht="13.5" thickBot="1">
      <c r="A126" s="126" t="s">
        <v>258</v>
      </c>
      <c r="B126" s="127" t="s">
        <v>1021</v>
      </c>
      <c r="C126" s="127">
        <v>43360</v>
      </c>
      <c r="D126" s="127" t="s">
        <v>217</v>
      </c>
      <c r="E126" s="126" t="s">
        <v>36</v>
      </c>
      <c r="F126" s="132">
        <v>7.6</v>
      </c>
      <c r="G126" s="127" t="s">
        <v>34</v>
      </c>
      <c r="H126" s="132">
        <v>447.92</v>
      </c>
      <c r="I126" s="140">
        <v>3405</v>
      </c>
      <c r="J126" s="135" t="s">
        <v>1019</v>
      </c>
    </row>
    <row r="127" spans="1:10" ht="15.75" thickBot="1">
      <c r="A127" s="122" t="s">
        <v>259</v>
      </c>
      <c r="B127" s="123" t="s">
        <v>1022</v>
      </c>
      <c r="C127" s="123" t="s">
        <v>260</v>
      </c>
      <c r="D127" s="123" t="s">
        <v>217</v>
      </c>
      <c r="E127" s="122" t="s">
        <v>261</v>
      </c>
      <c r="F127" s="130">
        <v>48.42</v>
      </c>
      <c r="G127" s="123" t="s">
        <v>82</v>
      </c>
      <c r="H127" s="130">
        <v>65.09</v>
      </c>
      <c r="I127" s="139">
        <v>3152</v>
      </c>
      <c r="J127" s="134"/>
    </row>
    <row r="128" spans="1:10" s="126" customFormat="1" ht="12.75">
      <c r="A128" s="126" t="s">
        <v>262</v>
      </c>
      <c r="B128" s="127" t="s">
        <v>1021</v>
      </c>
      <c r="C128" s="127">
        <v>1358</v>
      </c>
      <c r="D128" s="127" t="s">
        <v>217</v>
      </c>
      <c r="E128" s="126" t="s">
        <v>84</v>
      </c>
      <c r="F128" s="132">
        <v>26.63</v>
      </c>
      <c r="G128" s="127" t="s">
        <v>82</v>
      </c>
      <c r="H128" s="132">
        <v>46.86</v>
      </c>
      <c r="I128" s="140">
        <v>1248</v>
      </c>
      <c r="J128" s="135" t="s">
        <v>1018</v>
      </c>
    </row>
    <row r="129" spans="1:10" s="126" customFormat="1" ht="12.75">
      <c r="A129" s="126" t="s">
        <v>263</v>
      </c>
      <c r="B129" s="127" t="s">
        <v>1021</v>
      </c>
      <c r="C129" s="127">
        <v>20247</v>
      </c>
      <c r="D129" s="127" t="s">
        <v>217</v>
      </c>
      <c r="E129" s="126" t="s">
        <v>86</v>
      </c>
      <c r="F129" s="132">
        <v>1.5</v>
      </c>
      <c r="G129" s="127" t="s">
        <v>14</v>
      </c>
      <c r="H129" s="132">
        <v>24.02</v>
      </c>
      <c r="I129" s="140">
        <v>36</v>
      </c>
      <c r="J129" s="135" t="s">
        <v>1018</v>
      </c>
    </row>
    <row r="130" spans="1:10" s="126" customFormat="1" ht="12.75">
      <c r="A130" s="126" t="s">
        <v>264</v>
      </c>
      <c r="B130" s="127" t="s">
        <v>1021</v>
      </c>
      <c r="C130" s="127">
        <v>2692</v>
      </c>
      <c r="D130" s="127" t="s">
        <v>217</v>
      </c>
      <c r="E130" s="126" t="s">
        <v>88</v>
      </c>
      <c r="F130" s="132">
        <v>0.48</v>
      </c>
      <c r="G130" s="127" t="s">
        <v>17</v>
      </c>
      <c r="H130" s="132">
        <v>5.29</v>
      </c>
      <c r="I130" s="140">
        <v>3</v>
      </c>
      <c r="J130" s="135" t="s">
        <v>1018</v>
      </c>
    </row>
    <row r="131" spans="1:10" s="126" customFormat="1" ht="12.75">
      <c r="A131" s="126" t="s">
        <v>265</v>
      </c>
      <c r="B131" s="127" t="s">
        <v>1021</v>
      </c>
      <c r="C131" s="127">
        <v>4491</v>
      </c>
      <c r="D131" s="127" t="s">
        <v>217</v>
      </c>
      <c r="E131" s="126" t="s">
        <v>92</v>
      </c>
      <c r="F131" s="132">
        <v>324.61</v>
      </c>
      <c r="G131" s="127" t="s">
        <v>5</v>
      </c>
      <c r="H131" s="132">
        <v>5.05</v>
      </c>
      <c r="I131" s="140">
        <v>1639</v>
      </c>
      <c r="J131" s="135" t="s">
        <v>1018</v>
      </c>
    </row>
    <row r="132" spans="1:10" s="126" customFormat="1" ht="12.75">
      <c r="A132" s="126" t="s">
        <v>266</v>
      </c>
      <c r="B132" s="127" t="s">
        <v>1021</v>
      </c>
      <c r="C132" s="127">
        <v>4517</v>
      </c>
      <c r="D132" s="127" t="s">
        <v>217</v>
      </c>
      <c r="E132" s="126" t="s">
        <v>94</v>
      </c>
      <c r="F132" s="132">
        <v>85.22</v>
      </c>
      <c r="G132" s="127" t="s">
        <v>5</v>
      </c>
      <c r="H132" s="132">
        <v>1.76</v>
      </c>
      <c r="I132" s="140">
        <v>150</v>
      </c>
      <c r="J132" s="135" t="s">
        <v>1018</v>
      </c>
    </row>
    <row r="133" spans="1:10" s="126" customFormat="1" ht="13.5" thickBot="1">
      <c r="A133" s="126" t="s">
        <v>267</v>
      </c>
      <c r="B133" s="127" t="s">
        <v>1021</v>
      </c>
      <c r="C133" s="127">
        <v>5073</v>
      </c>
      <c r="D133" s="127" t="s">
        <v>217</v>
      </c>
      <c r="E133" s="126" t="s">
        <v>96</v>
      </c>
      <c r="F133" s="132">
        <v>3.44</v>
      </c>
      <c r="G133" s="127" t="s">
        <v>14</v>
      </c>
      <c r="H133" s="132">
        <v>22.11</v>
      </c>
      <c r="I133" s="140">
        <v>76</v>
      </c>
      <c r="J133" s="135" t="s">
        <v>1018</v>
      </c>
    </row>
    <row r="134" spans="1:10" ht="15.75" thickBot="1">
      <c r="A134" s="122" t="s">
        <v>268</v>
      </c>
      <c r="B134" s="123" t="s">
        <v>1022</v>
      </c>
      <c r="C134" s="123" t="s">
        <v>269</v>
      </c>
      <c r="D134" s="123" t="s">
        <v>217</v>
      </c>
      <c r="E134" s="122" t="s">
        <v>270</v>
      </c>
      <c r="F134" s="130">
        <v>6.91</v>
      </c>
      <c r="G134" s="123" t="s">
        <v>34</v>
      </c>
      <c r="H134" s="130">
        <v>800</v>
      </c>
      <c r="I134" s="139">
        <v>5529</v>
      </c>
      <c r="J134" s="134"/>
    </row>
    <row r="135" spans="1:10" s="126" customFormat="1" ht="13.5" thickBot="1">
      <c r="A135" s="126" t="s">
        <v>271</v>
      </c>
      <c r="B135" s="127" t="s">
        <v>1021</v>
      </c>
      <c r="C135" s="127" t="s">
        <v>272</v>
      </c>
      <c r="D135" s="127" t="s">
        <v>217</v>
      </c>
      <c r="E135" s="126" t="s">
        <v>273</v>
      </c>
      <c r="F135" s="132">
        <v>6.91</v>
      </c>
      <c r="G135" s="127" t="s">
        <v>34</v>
      </c>
      <c r="H135" s="132">
        <v>800</v>
      </c>
      <c r="I135" s="140">
        <v>5529</v>
      </c>
      <c r="J135" s="135" t="s">
        <v>1019</v>
      </c>
    </row>
    <row r="136" spans="1:10" ht="15" customHeight="1" thickBot="1">
      <c r="A136" s="118">
        <v>-8</v>
      </c>
      <c r="B136" s="108" t="s">
        <v>1020</v>
      </c>
      <c r="C136" s="108">
        <v>8</v>
      </c>
      <c r="D136" s="108"/>
      <c r="E136" s="118" t="s">
        <v>274</v>
      </c>
      <c r="F136" s="129">
        <v>6</v>
      </c>
      <c r="G136" s="108" t="s">
        <v>30</v>
      </c>
      <c r="H136" s="129">
        <v>8970.59</v>
      </c>
      <c r="I136" s="138">
        <v>53824</v>
      </c>
      <c r="J136" s="110"/>
    </row>
    <row r="137" spans="1:10" ht="15.75" thickBot="1">
      <c r="A137" s="122" t="s">
        <v>275</v>
      </c>
      <c r="B137" s="123" t="s">
        <v>1022</v>
      </c>
      <c r="C137" s="123" t="s">
        <v>276</v>
      </c>
      <c r="D137" s="123" t="s">
        <v>274</v>
      </c>
      <c r="E137" s="122" t="s">
        <v>277</v>
      </c>
      <c r="F137" s="130">
        <v>1</v>
      </c>
      <c r="G137" s="123" t="s">
        <v>30</v>
      </c>
      <c r="H137" s="130">
        <v>28121.47</v>
      </c>
      <c r="I137" s="139">
        <v>28121</v>
      </c>
      <c r="J137" s="134"/>
    </row>
    <row r="138" spans="1:10" s="126" customFormat="1" ht="12.75">
      <c r="A138" s="126" t="s">
        <v>278</v>
      </c>
      <c r="B138" s="127" t="s">
        <v>1021</v>
      </c>
      <c r="C138" s="127" t="s">
        <v>279</v>
      </c>
      <c r="D138" s="127" t="s">
        <v>274</v>
      </c>
      <c r="E138" s="126" t="s">
        <v>280</v>
      </c>
      <c r="F138" s="132">
        <v>16</v>
      </c>
      <c r="G138" s="127" t="s">
        <v>50</v>
      </c>
      <c r="H138" s="132">
        <v>79</v>
      </c>
      <c r="I138" s="140">
        <v>1264</v>
      </c>
      <c r="J138" s="135" t="s">
        <v>1018</v>
      </c>
    </row>
    <row r="139" spans="1:10" s="126" customFormat="1" ht="12.75">
      <c r="A139" s="126" t="s">
        <v>281</v>
      </c>
      <c r="B139" s="127" t="s">
        <v>1021</v>
      </c>
      <c r="C139" s="127" t="s">
        <v>282</v>
      </c>
      <c r="D139" s="127" t="s">
        <v>274</v>
      </c>
      <c r="E139" s="126" t="s">
        <v>283</v>
      </c>
      <c r="F139" s="132">
        <v>16</v>
      </c>
      <c r="G139" s="127" t="s">
        <v>50</v>
      </c>
      <c r="H139" s="132">
        <v>60</v>
      </c>
      <c r="I139" s="140">
        <v>960</v>
      </c>
      <c r="J139" s="135" t="s">
        <v>1018</v>
      </c>
    </row>
    <row r="140" spans="1:10" s="126" customFormat="1" ht="12.75">
      <c r="A140" s="126" t="s">
        <v>284</v>
      </c>
      <c r="B140" s="127" t="s">
        <v>1021</v>
      </c>
      <c r="C140" s="127" t="s">
        <v>285</v>
      </c>
      <c r="D140" s="127" t="s">
        <v>274</v>
      </c>
      <c r="E140" s="126" t="s">
        <v>286</v>
      </c>
      <c r="F140" s="132">
        <v>8</v>
      </c>
      <c r="G140" s="127" t="s">
        <v>50</v>
      </c>
      <c r="H140" s="132">
        <v>12.5</v>
      </c>
      <c r="I140" s="140">
        <v>100</v>
      </c>
      <c r="J140" s="135" t="s">
        <v>1018</v>
      </c>
    </row>
    <row r="141" spans="1:10" s="126" customFormat="1" ht="12.75">
      <c r="A141" s="126" t="s">
        <v>287</v>
      </c>
      <c r="B141" s="127" t="s">
        <v>1021</v>
      </c>
      <c r="C141" s="127">
        <v>3516</v>
      </c>
      <c r="D141" s="127" t="s">
        <v>274</v>
      </c>
      <c r="E141" s="126" t="s">
        <v>288</v>
      </c>
      <c r="F141" s="132">
        <v>20</v>
      </c>
      <c r="G141" s="127" t="s">
        <v>50</v>
      </c>
      <c r="H141" s="132">
        <v>1.35</v>
      </c>
      <c r="I141" s="140">
        <v>27</v>
      </c>
      <c r="J141" s="135" t="s">
        <v>1018</v>
      </c>
    </row>
    <row r="142" spans="1:10" s="126" customFormat="1" ht="12.75">
      <c r="A142" s="126" t="s">
        <v>289</v>
      </c>
      <c r="B142" s="127" t="s">
        <v>1021</v>
      </c>
      <c r="C142" s="127">
        <v>3518</v>
      </c>
      <c r="D142" s="127" t="s">
        <v>274</v>
      </c>
      <c r="E142" s="126" t="s">
        <v>290</v>
      </c>
      <c r="F142" s="132">
        <v>230</v>
      </c>
      <c r="G142" s="127" t="s">
        <v>50</v>
      </c>
      <c r="H142" s="132">
        <v>4.03</v>
      </c>
      <c r="I142" s="140">
        <v>927</v>
      </c>
      <c r="J142" s="135" t="s">
        <v>1018</v>
      </c>
    </row>
    <row r="143" spans="1:10" s="126" customFormat="1" ht="12.75">
      <c r="A143" s="126" t="s">
        <v>291</v>
      </c>
      <c r="B143" s="127" t="s">
        <v>1021</v>
      </c>
      <c r="C143" s="127">
        <v>3519</v>
      </c>
      <c r="D143" s="127" t="s">
        <v>274</v>
      </c>
      <c r="E143" s="126" t="s">
        <v>292</v>
      </c>
      <c r="F143" s="132">
        <v>8</v>
      </c>
      <c r="G143" s="127" t="s">
        <v>50</v>
      </c>
      <c r="H143" s="132">
        <v>9.5299999999999994</v>
      </c>
      <c r="I143" s="140">
        <v>76</v>
      </c>
      <c r="J143" s="135" t="s">
        <v>1018</v>
      </c>
    </row>
    <row r="144" spans="1:10" s="126" customFormat="1" ht="12.75">
      <c r="A144" s="126" t="s">
        <v>293</v>
      </c>
      <c r="B144" s="127" t="s">
        <v>1021</v>
      </c>
      <c r="C144" s="127">
        <v>3528</v>
      </c>
      <c r="D144" s="127" t="s">
        <v>274</v>
      </c>
      <c r="E144" s="126" t="s">
        <v>294</v>
      </c>
      <c r="F144" s="132">
        <v>90</v>
      </c>
      <c r="G144" s="127" t="s">
        <v>50</v>
      </c>
      <c r="H144" s="132">
        <v>10.61</v>
      </c>
      <c r="I144" s="140">
        <v>955</v>
      </c>
      <c r="J144" s="135" t="s">
        <v>1018</v>
      </c>
    </row>
    <row r="145" spans="1:10" s="126" customFormat="1" ht="12.75">
      <c r="A145" s="126" t="s">
        <v>295</v>
      </c>
      <c r="B145" s="127" t="s">
        <v>1021</v>
      </c>
      <c r="C145" s="127">
        <v>9835</v>
      </c>
      <c r="D145" s="127" t="s">
        <v>274</v>
      </c>
      <c r="E145" s="126" t="s">
        <v>296</v>
      </c>
      <c r="F145" s="132">
        <v>57.03</v>
      </c>
      <c r="G145" s="127" t="s">
        <v>5</v>
      </c>
      <c r="H145" s="132">
        <v>6.77</v>
      </c>
      <c r="I145" s="140">
        <v>386</v>
      </c>
      <c r="J145" s="135" t="s">
        <v>1018</v>
      </c>
    </row>
    <row r="146" spans="1:10" s="126" customFormat="1" ht="12.75">
      <c r="A146" s="126" t="s">
        <v>297</v>
      </c>
      <c r="B146" s="127" t="s">
        <v>1021</v>
      </c>
      <c r="C146" s="127">
        <v>9836</v>
      </c>
      <c r="D146" s="127" t="s">
        <v>274</v>
      </c>
      <c r="E146" s="126" t="s">
        <v>298</v>
      </c>
      <c r="F146" s="132">
        <v>231.42</v>
      </c>
      <c r="G146" s="127" t="s">
        <v>5</v>
      </c>
      <c r="H146" s="132">
        <v>18.79</v>
      </c>
      <c r="I146" s="140">
        <v>4348</v>
      </c>
      <c r="J146" s="135" t="s">
        <v>1018</v>
      </c>
    </row>
    <row r="147" spans="1:10" s="126" customFormat="1" ht="12.75">
      <c r="A147" s="126" t="s">
        <v>299</v>
      </c>
      <c r="B147" s="127" t="s">
        <v>1021</v>
      </c>
      <c r="C147" s="127">
        <v>9837</v>
      </c>
      <c r="D147" s="127" t="s">
        <v>274</v>
      </c>
      <c r="E147" s="126" t="s">
        <v>300</v>
      </c>
      <c r="F147" s="132">
        <v>72.760000000000005</v>
      </c>
      <c r="G147" s="127" t="s">
        <v>5</v>
      </c>
      <c r="H147" s="132">
        <v>16.649999999999999</v>
      </c>
      <c r="I147" s="140">
        <v>1211</v>
      </c>
      <c r="J147" s="135" t="s">
        <v>1018</v>
      </c>
    </row>
    <row r="148" spans="1:10" s="126" customFormat="1" ht="12.75">
      <c r="A148" s="126" t="s">
        <v>301</v>
      </c>
      <c r="B148" s="127" t="s">
        <v>1021</v>
      </c>
      <c r="C148" s="127">
        <v>9838</v>
      </c>
      <c r="D148" s="127" t="s">
        <v>274</v>
      </c>
      <c r="E148" s="126" t="s">
        <v>302</v>
      </c>
      <c r="F148" s="132">
        <v>118.31</v>
      </c>
      <c r="G148" s="127" t="s">
        <v>5</v>
      </c>
      <c r="H148" s="132">
        <v>11.53</v>
      </c>
      <c r="I148" s="140">
        <v>1364</v>
      </c>
      <c r="J148" s="135" t="s">
        <v>1018</v>
      </c>
    </row>
    <row r="149" spans="1:10" s="126" customFormat="1" ht="12.75">
      <c r="A149" s="126" t="s">
        <v>303</v>
      </c>
      <c r="B149" s="127" t="s">
        <v>1021</v>
      </c>
      <c r="C149" s="127" t="s">
        <v>304</v>
      </c>
      <c r="D149" s="127" t="s">
        <v>274</v>
      </c>
      <c r="E149" s="126" t="s">
        <v>305</v>
      </c>
      <c r="F149" s="132">
        <v>32</v>
      </c>
      <c r="G149" s="127" t="s">
        <v>50</v>
      </c>
      <c r="H149" s="132">
        <v>21.9</v>
      </c>
      <c r="I149" s="140">
        <v>701</v>
      </c>
      <c r="J149" s="135" t="s">
        <v>1018</v>
      </c>
    </row>
    <row r="150" spans="1:10" s="126" customFormat="1" ht="12.75">
      <c r="A150" s="126" t="s">
        <v>306</v>
      </c>
      <c r="B150" s="127" t="s">
        <v>1021</v>
      </c>
      <c r="C150" s="127" t="s">
        <v>307</v>
      </c>
      <c r="D150" s="127" t="s">
        <v>274</v>
      </c>
      <c r="E150" s="126" t="s">
        <v>308</v>
      </c>
      <c r="F150" s="132">
        <v>32</v>
      </c>
      <c r="G150" s="127" t="s">
        <v>50</v>
      </c>
      <c r="H150" s="132">
        <v>18.36</v>
      </c>
      <c r="I150" s="140">
        <v>588</v>
      </c>
      <c r="J150" s="135" t="s">
        <v>1018</v>
      </c>
    </row>
    <row r="151" spans="1:10" s="126" customFormat="1" ht="12.75">
      <c r="A151" s="126" t="s">
        <v>309</v>
      </c>
      <c r="B151" s="127" t="s">
        <v>1021</v>
      </c>
      <c r="C151" s="127" t="s">
        <v>310</v>
      </c>
      <c r="D151" s="127" t="s">
        <v>274</v>
      </c>
      <c r="E151" s="126" t="s">
        <v>311</v>
      </c>
      <c r="F151" s="132">
        <v>12</v>
      </c>
      <c r="G151" s="127" t="s">
        <v>50</v>
      </c>
      <c r="H151" s="132">
        <v>10</v>
      </c>
      <c r="I151" s="140">
        <v>120</v>
      </c>
      <c r="J151" s="135" t="s">
        <v>1018</v>
      </c>
    </row>
    <row r="152" spans="1:10" s="126" customFormat="1" ht="12.75">
      <c r="A152" s="126" t="s">
        <v>312</v>
      </c>
      <c r="B152" s="127" t="s">
        <v>1021</v>
      </c>
      <c r="C152" s="127" t="s">
        <v>313</v>
      </c>
      <c r="D152" s="127" t="s">
        <v>274</v>
      </c>
      <c r="E152" s="126" t="s">
        <v>314</v>
      </c>
      <c r="F152" s="132">
        <v>4</v>
      </c>
      <c r="G152" s="127" t="s">
        <v>50</v>
      </c>
      <c r="H152" s="132">
        <v>12</v>
      </c>
      <c r="I152" s="140">
        <v>48</v>
      </c>
      <c r="J152" s="135" t="s">
        <v>1018</v>
      </c>
    </row>
    <row r="153" spans="1:10" s="126" customFormat="1" ht="12.75">
      <c r="A153" s="126" t="s">
        <v>315</v>
      </c>
      <c r="B153" s="127" t="s">
        <v>1021</v>
      </c>
      <c r="C153" s="127" t="s">
        <v>316</v>
      </c>
      <c r="D153" s="127" t="s">
        <v>274</v>
      </c>
      <c r="E153" s="126" t="s">
        <v>317</v>
      </c>
      <c r="F153" s="132">
        <v>54</v>
      </c>
      <c r="G153" s="127" t="s">
        <v>50</v>
      </c>
      <c r="H153" s="132">
        <v>5</v>
      </c>
      <c r="I153" s="140">
        <v>270</v>
      </c>
      <c r="J153" s="135" t="s">
        <v>1018</v>
      </c>
    </row>
    <row r="154" spans="1:10" s="126" customFormat="1" ht="12.75">
      <c r="A154" s="126" t="s">
        <v>318</v>
      </c>
      <c r="B154" s="127" t="s">
        <v>1021</v>
      </c>
      <c r="C154" s="127" t="s">
        <v>319</v>
      </c>
      <c r="D154" s="127" t="s">
        <v>274</v>
      </c>
      <c r="E154" s="126" t="s">
        <v>320</v>
      </c>
      <c r="F154" s="132">
        <v>30</v>
      </c>
      <c r="G154" s="127" t="s">
        <v>50</v>
      </c>
      <c r="H154" s="132">
        <v>5</v>
      </c>
      <c r="I154" s="140">
        <v>150</v>
      </c>
      <c r="J154" s="135" t="s">
        <v>1018</v>
      </c>
    </row>
    <row r="155" spans="1:10" s="126" customFormat="1" ht="12.75">
      <c r="A155" s="126" t="s">
        <v>321</v>
      </c>
      <c r="B155" s="127" t="s">
        <v>1021</v>
      </c>
      <c r="C155" s="127" t="s">
        <v>322</v>
      </c>
      <c r="D155" s="127" t="s">
        <v>274</v>
      </c>
      <c r="E155" s="126" t="s">
        <v>323</v>
      </c>
      <c r="F155" s="132">
        <v>2</v>
      </c>
      <c r="G155" s="127" t="s">
        <v>50</v>
      </c>
      <c r="H155" s="132">
        <v>12</v>
      </c>
      <c r="I155" s="140">
        <v>24</v>
      </c>
      <c r="J155" s="135" t="s">
        <v>1018</v>
      </c>
    </row>
    <row r="156" spans="1:10" s="126" customFormat="1" ht="12.75">
      <c r="A156" s="126" t="s">
        <v>324</v>
      </c>
      <c r="B156" s="127" t="s">
        <v>1021</v>
      </c>
      <c r="C156" s="127" t="s">
        <v>325</v>
      </c>
      <c r="D156" s="127" t="s">
        <v>274</v>
      </c>
      <c r="E156" s="126" t="s">
        <v>326</v>
      </c>
      <c r="F156" s="132">
        <v>26</v>
      </c>
      <c r="G156" s="127" t="s">
        <v>50</v>
      </c>
      <c r="H156" s="132">
        <v>5</v>
      </c>
      <c r="I156" s="140">
        <v>130</v>
      </c>
      <c r="J156" s="135" t="s">
        <v>1018</v>
      </c>
    </row>
    <row r="157" spans="1:10" s="126" customFormat="1" ht="12.75">
      <c r="A157" s="126" t="s">
        <v>327</v>
      </c>
      <c r="B157" s="127" t="s">
        <v>1021</v>
      </c>
      <c r="C157" s="127" t="s">
        <v>328</v>
      </c>
      <c r="D157" s="127" t="s">
        <v>274</v>
      </c>
      <c r="E157" s="126" t="s">
        <v>329</v>
      </c>
      <c r="F157" s="132">
        <v>156</v>
      </c>
      <c r="G157" s="127" t="s">
        <v>50</v>
      </c>
      <c r="H157" s="132">
        <v>15</v>
      </c>
      <c r="I157" s="140">
        <v>2340</v>
      </c>
      <c r="J157" s="135" t="s">
        <v>1018</v>
      </c>
    </row>
    <row r="158" spans="1:10" s="126" customFormat="1" ht="12.75">
      <c r="A158" s="126" t="s">
        <v>330</v>
      </c>
      <c r="B158" s="127" t="s">
        <v>1021</v>
      </c>
      <c r="C158" s="127" t="s">
        <v>331</v>
      </c>
      <c r="D158" s="127" t="s">
        <v>274</v>
      </c>
      <c r="E158" s="126" t="s">
        <v>332</v>
      </c>
      <c r="F158" s="132">
        <v>170</v>
      </c>
      <c r="G158" s="127" t="s">
        <v>50</v>
      </c>
      <c r="H158" s="132">
        <v>8</v>
      </c>
      <c r="I158" s="140">
        <v>1360</v>
      </c>
      <c r="J158" s="135" t="s">
        <v>1018</v>
      </c>
    </row>
    <row r="159" spans="1:10" s="126" customFormat="1" ht="12.75">
      <c r="A159" s="126" t="s">
        <v>333</v>
      </c>
      <c r="B159" s="127" t="s">
        <v>1021</v>
      </c>
      <c r="C159" s="127" t="s">
        <v>334</v>
      </c>
      <c r="D159" s="127" t="s">
        <v>274</v>
      </c>
      <c r="E159" s="126" t="s">
        <v>335</v>
      </c>
      <c r="F159" s="132">
        <v>32</v>
      </c>
      <c r="G159" s="127" t="s">
        <v>50</v>
      </c>
      <c r="H159" s="132">
        <v>8</v>
      </c>
      <c r="I159" s="140">
        <v>256</v>
      </c>
      <c r="J159" s="135" t="s">
        <v>1018</v>
      </c>
    </row>
    <row r="160" spans="1:10" s="126" customFormat="1" ht="12.75">
      <c r="A160" s="126" t="s">
        <v>336</v>
      </c>
      <c r="B160" s="127" t="s">
        <v>1021</v>
      </c>
      <c r="C160" s="127" t="s">
        <v>337</v>
      </c>
      <c r="D160" s="127" t="s">
        <v>274</v>
      </c>
      <c r="E160" s="126" t="s">
        <v>338</v>
      </c>
      <c r="F160" s="132">
        <v>2</v>
      </c>
      <c r="G160" s="127" t="s">
        <v>50</v>
      </c>
      <c r="H160" s="132">
        <v>8</v>
      </c>
      <c r="I160" s="140">
        <v>16</v>
      </c>
      <c r="J160" s="135" t="s">
        <v>1018</v>
      </c>
    </row>
    <row r="161" spans="1:10" s="126" customFormat="1" ht="12.75">
      <c r="A161" s="126" t="s">
        <v>339</v>
      </c>
      <c r="B161" s="127" t="s">
        <v>1021</v>
      </c>
      <c r="C161" s="127" t="s">
        <v>340</v>
      </c>
      <c r="D161" s="127" t="s">
        <v>274</v>
      </c>
      <c r="E161" s="126" t="s">
        <v>341</v>
      </c>
      <c r="F161" s="132">
        <v>28</v>
      </c>
      <c r="G161" s="127" t="s">
        <v>50</v>
      </c>
      <c r="H161" s="132">
        <v>80</v>
      </c>
      <c r="I161" s="140">
        <v>2240</v>
      </c>
      <c r="J161" s="135" t="s">
        <v>1018</v>
      </c>
    </row>
    <row r="162" spans="1:10" s="126" customFormat="1" ht="12.75">
      <c r="A162" s="126" t="s">
        <v>342</v>
      </c>
      <c r="B162" s="127" t="s">
        <v>1021</v>
      </c>
      <c r="C162" s="127" t="s">
        <v>343</v>
      </c>
      <c r="D162" s="127" t="s">
        <v>274</v>
      </c>
      <c r="E162" s="126" t="s">
        <v>344</v>
      </c>
      <c r="F162" s="132">
        <v>32</v>
      </c>
      <c r="G162" s="127" t="s">
        <v>50</v>
      </c>
      <c r="H162" s="132">
        <v>70</v>
      </c>
      <c r="I162" s="140">
        <v>2240</v>
      </c>
      <c r="J162" s="135" t="s">
        <v>1018</v>
      </c>
    </row>
    <row r="163" spans="1:10" s="126" customFormat="1" ht="12.75">
      <c r="A163" s="126" t="s">
        <v>345</v>
      </c>
      <c r="B163" s="127" t="s">
        <v>1021</v>
      </c>
      <c r="C163" s="127" t="s">
        <v>346</v>
      </c>
      <c r="D163" s="127" t="s">
        <v>274</v>
      </c>
      <c r="E163" s="126" t="s">
        <v>347</v>
      </c>
      <c r="F163" s="132">
        <v>8</v>
      </c>
      <c r="G163" s="127" t="s">
        <v>50</v>
      </c>
      <c r="H163" s="132">
        <v>70</v>
      </c>
      <c r="I163" s="140">
        <v>560</v>
      </c>
      <c r="J163" s="135" t="s">
        <v>1018</v>
      </c>
    </row>
    <row r="164" spans="1:10" s="126" customFormat="1" ht="12.75">
      <c r="A164" s="126" t="s">
        <v>348</v>
      </c>
      <c r="B164" s="127" t="s">
        <v>1021</v>
      </c>
      <c r="C164" s="127" t="s">
        <v>349</v>
      </c>
      <c r="D164" s="127" t="s">
        <v>274</v>
      </c>
      <c r="E164" s="126" t="s">
        <v>350</v>
      </c>
      <c r="F164" s="132">
        <v>46</v>
      </c>
      <c r="G164" s="127" t="s">
        <v>50</v>
      </c>
      <c r="H164" s="132">
        <v>70</v>
      </c>
      <c r="I164" s="140">
        <v>3220</v>
      </c>
      <c r="J164" s="135" t="s">
        <v>1018</v>
      </c>
    </row>
    <row r="165" spans="1:10" s="126" customFormat="1" ht="13.5" thickBot="1">
      <c r="A165" s="126" t="s">
        <v>351</v>
      </c>
      <c r="B165" s="127" t="s">
        <v>1021</v>
      </c>
      <c r="C165" s="127" t="s">
        <v>352</v>
      </c>
      <c r="D165" s="127" t="s">
        <v>274</v>
      </c>
      <c r="E165" s="126" t="s">
        <v>353</v>
      </c>
      <c r="F165" s="132">
        <v>32</v>
      </c>
      <c r="G165" s="127" t="s">
        <v>50</v>
      </c>
      <c r="H165" s="132">
        <v>70</v>
      </c>
      <c r="I165" s="140">
        <v>2240</v>
      </c>
      <c r="J165" s="135" t="s">
        <v>1018</v>
      </c>
    </row>
    <row r="166" spans="1:10" ht="15.75" thickBot="1">
      <c r="A166" s="122" t="s">
        <v>354</v>
      </c>
      <c r="B166" s="123" t="s">
        <v>1022</v>
      </c>
      <c r="C166" s="123" t="s">
        <v>355</v>
      </c>
      <c r="D166" s="123" t="s">
        <v>274</v>
      </c>
      <c r="E166" s="122" t="s">
        <v>356</v>
      </c>
      <c r="F166" s="130">
        <v>1</v>
      </c>
      <c r="G166" s="123" t="s">
        <v>30</v>
      </c>
      <c r="H166" s="130">
        <v>6502.09</v>
      </c>
      <c r="I166" s="139">
        <v>6502</v>
      </c>
      <c r="J166" s="134"/>
    </row>
    <row r="167" spans="1:10" s="126" customFormat="1" ht="12.75">
      <c r="A167" s="126" t="s">
        <v>357</v>
      </c>
      <c r="B167" s="127" t="s">
        <v>1021</v>
      </c>
      <c r="C167" s="127" t="s">
        <v>358</v>
      </c>
      <c r="D167" s="127" t="s">
        <v>274</v>
      </c>
      <c r="E167" s="126" t="s">
        <v>359</v>
      </c>
      <c r="F167" s="132">
        <v>10</v>
      </c>
      <c r="G167" s="127" t="s">
        <v>50</v>
      </c>
      <c r="H167" s="132">
        <v>21.9</v>
      </c>
      <c r="I167" s="140">
        <v>219</v>
      </c>
      <c r="J167" s="135" t="s">
        <v>1018</v>
      </c>
    </row>
    <row r="168" spans="1:10" s="126" customFormat="1" ht="12.75">
      <c r="A168" s="126" t="s">
        <v>360</v>
      </c>
      <c r="B168" s="127" t="s">
        <v>1021</v>
      </c>
      <c r="C168" s="127">
        <v>3501</v>
      </c>
      <c r="D168" s="127" t="s">
        <v>274</v>
      </c>
      <c r="E168" s="126" t="s">
        <v>361</v>
      </c>
      <c r="F168" s="132">
        <v>4</v>
      </c>
      <c r="G168" s="127" t="s">
        <v>50</v>
      </c>
      <c r="H168" s="132">
        <v>5.83</v>
      </c>
      <c r="I168" s="140">
        <v>23</v>
      </c>
      <c r="J168" s="135" t="s">
        <v>1018</v>
      </c>
    </row>
    <row r="169" spans="1:10" s="126" customFormat="1" ht="12.75">
      <c r="A169" s="126" t="s">
        <v>362</v>
      </c>
      <c r="B169" s="127" t="s">
        <v>1021</v>
      </c>
      <c r="C169" s="127">
        <v>3529</v>
      </c>
      <c r="D169" s="127" t="s">
        <v>274</v>
      </c>
      <c r="E169" s="126" t="s">
        <v>363</v>
      </c>
      <c r="F169" s="132">
        <v>304</v>
      </c>
      <c r="G169" s="127" t="s">
        <v>50</v>
      </c>
      <c r="H169" s="132">
        <v>0.98</v>
      </c>
      <c r="I169" s="140">
        <v>298</v>
      </c>
      <c r="J169" s="135" t="s">
        <v>1018</v>
      </c>
    </row>
    <row r="170" spans="1:10" s="126" customFormat="1" ht="12.75">
      <c r="A170" s="126" t="s">
        <v>364</v>
      </c>
      <c r="B170" s="127" t="s">
        <v>1021</v>
      </c>
      <c r="C170" s="127" t="s">
        <v>365</v>
      </c>
      <c r="D170" s="127" t="s">
        <v>274</v>
      </c>
      <c r="E170" s="126" t="s">
        <v>366</v>
      </c>
      <c r="F170" s="132">
        <v>50</v>
      </c>
      <c r="G170" s="127" t="s">
        <v>50</v>
      </c>
      <c r="H170" s="132">
        <v>23</v>
      </c>
      <c r="I170" s="140">
        <v>1150</v>
      </c>
      <c r="J170" s="135" t="s">
        <v>1018</v>
      </c>
    </row>
    <row r="171" spans="1:10" s="126" customFormat="1" ht="12.75">
      <c r="A171" s="126" t="s">
        <v>367</v>
      </c>
      <c r="B171" s="127" t="s">
        <v>1021</v>
      </c>
      <c r="C171" s="127">
        <v>6019</v>
      </c>
      <c r="D171" s="127" t="s">
        <v>274</v>
      </c>
      <c r="E171" s="126" t="s">
        <v>368</v>
      </c>
      <c r="F171" s="132">
        <v>48</v>
      </c>
      <c r="G171" s="127" t="s">
        <v>50</v>
      </c>
      <c r="H171" s="132">
        <v>58.23</v>
      </c>
      <c r="I171" s="140">
        <v>2795</v>
      </c>
      <c r="J171" s="135" t="s">
        <v>1018</v>
      </c>
    </row>
    <row r="172" spans="1:10" s="126" customFormat="1" ht="12.75">
      <c r="A172" s="126" t="s">
        <v>369</v>
      </c>
      <c r="B172" s="127" t="s">
        <v>1021</v>
      </c>
      <c r="C172" s="127">
        <v>9868</v>
      </c>
      <c r="D172" s="127" t="s">
        <v>274</v>
      </c>
      <c r="E172" s="126" t="s">
        <v>370</v>
      </c>
      <c r="F172" s="132">
        <v>322.58999999999997</v>
      </c>
      <c r="G172" s="127" t="s">
        <v>5</v>
      </c>
      <c r="H172" s="132">
        <v>5</v>
      </c>
      <c r="I172" s="140">
        <v>1613</v>
      </c>
      <c r="J172" s="135" t="s">
        <v>1018</v>
      </c>
    </row>
    <row r="173" spans="1:10" s="126" customFormat="1" ht="13.5" thickBot="1">
      <c r="A173" s="126" t="s">
        <v>371</v>
      </c>
      <c r="B173" s="127" t="s">
        <v>1021</v>
      </c>
      <c r="C173" s="127">
        <v>9869</v>
      </c>
      <c r="D173" s="127" t="s">
        <v>274</v>
      </c>
      <c r="E173" s="126" t="s">
        <v>372</v>
      </c>
      <c r="F173" s="132">
        <v>35.96</v>
      </c>
      <c r="G173" s="127" t="s">
        <v>5</v>
      </c>
      <c r="H173" s="132">
        <v>11.23</v>
      </c>
      <c r="I173" s="140">
        <v>404</v>
      </c>
      <c r="J173" s="135" t="s">
        <v>1018</v>
      </c>
    </row>
    <row r="174" spans="1:10" ht="15.75" thickBot="1">
      <c r="A174" s="122" t="s">
        <v>373</v>
      </c>
      <c r="B174" s="123" t="s">
        <v>1022</v>
      </c>
      <c r="C174" s="123" t="s">
        <v>374</v>
      </c>
      <c r="D174" s="123" t="s">
        <v>274</v>
      </c>
      <c r="E174" s="122" t="s">
        <v>375</v>
      </c>
      <c r="F174" s="130">
        <v>4</v>
      </c>
      <c r="G174" s="123" t="s">
        <v>30</v>
      </c>
      <c r="H174" s="130">
        <v>4800</v>
      </c>
      <c r="I174" s="139">
        <v>19200</v>
      </c>
      <c r="J174" s="134"/>
    </row>
    <row r="175" spans="1:10" s="126" customFormat="1" ht="13.5" thickBot="1">
      <c r="A175" s="126" t="s">
        <v>376</v>
      </c>
      <c r="B175" s="127" t="s">
        <v>1021</v>
      </c>
      <c r="C175" s="127" t="s">
        <v>377</v>
      </c>
      <c r="D175" s="127" t="s">
        <v>274</v>
      </c>
      <c r="E175" s="126" t="s">
        <v>378</v>
      </c>
      <c r="F175" s="132">
        <v>16</v>
      </c>
      <c r="G175" s="127" t="s">
        <v>379</v>
      </c>
      <c r="H175" s="132">
        <v>1200</v>
      </c>
      <c r="I175" s="140">
        <v>19200</v>
      </c>
      <c r="J175" s="135" t="s">
        <v>1019</v>
      </c>
    </row>
    <row r="176" spans="1:10" ht="15.75" thickBot="1">
      <c r="A176" s="118">
        <v>-9</v>
      </c>
      <c r="B176" s="108" t="s">
        <v>1020</v>
      </c>
      <c r="C176" s="108">
        <v>9</v>
      </c>
      <c r="D176" s="108" t="s">
        <v>380</v>
      </c>
      <c r="E176" s="118" t="s">
        <v>380</v>
      </c>
      <c r="F176" s="129">
        <v>562.37</v>
      </c>
      <c r="G176" s="108" t="s">
        <v>82</v>
      </c>
      <c r="H176" s="129">
        <v>26.43</v>
      </c>
      <c r="I176" s="138">
        <v>14863</v>
      </c>
      <c r="J176" s="110"/>
    </row>
    <row r="177" spans="1:10" ht="15.75" thickBot="1">
      <c r="A177" s="122" t="s">
        <v>381</v>
      </c>
      <c r="B177" s="123" t="s">
        <v>1022</v>
      </c>
      <c r="C177" s="123" t="s">
        <v>382</v>
      </c>
      <c r="D177" s="123" t="s">
        <v>380</v>
      </c>
      <c r="E177" s="122" t="s">
        <v>383</v>
      </c>
      <c r="F177" s="130">
        <v>16555.52</v>
      </c>
      <c r="G177" s="123" t="s">
        <v>14</v>
      </c>
      <c r="H177" s="130">
        <v>0.66</v>
      </c>
      <c r="I177" s="139">
        <v>10927</v>
      </c>
      <c r="J177" s="134"/>
    </row>
    <row r="178" spans="1:10" s="126" customFormat="1" ht="13.5" thickBot="1">
      <c r="A178" s="126" t="s">
        <v>384</v>
      </c>
      <c r="B178" s="127" t="s">
        <v>1021</v>
      </c>
      <c r="C178" s="127">
        <v>371</v>
      </c>
      <c r="D178" s="127" t="s">
        <v>380</v>
      </c>
      <c r="E178" s="126" t="s">
        <v>187</v>
      </c>
      <c r="F178" s="132">
        <v>19866.63</v>
      </c>
      <c r="G178" s="127" t="s">
        <v>14</v>
      </c>
      <c r="H178" s="132">
        <v>0.55000000000000004</v>
      </c>
      <c r="I178" s="140">
        <v>10927</v>
      </c>
      <c r="J178" s="135" t="s">
        <v>1018</v>
      </c>
    </row>
    <row r="179" spans="1:10" ht="15.75" thickBot="1">
      <c r="A179" s="122" t="s">
        <v>385</v>
      </c>
      <c r="B179" s="123" t="s">
        <v>1022</v>
      </c>
      <c r="C179" s="123" t="s">
        <v>386</v>
      </c>
      <c r="D179" s="123" t="s">
        <v>380</v>
      </c>
      <c r="E179" s="122" t="s">
        <v>387</v>
      </c>
      <c r="F179" s="130">
        <v>562.37</v>
      </c>
      <c r="G179" s="123" t="s">
        <v>82</v>
      </c>
      <c r="H179" s="130">
        <v>7</v>
      </c>
      <c r="I179" s="139">
        <v>3937</v>
      </c>
      <c r="J179" s="134"/>
    </row>
    <row r="180" spans="1:10" s="126" customFormat="1" ht="13.5" thickBot="1">
      <c r="A180" s="126" t="s">
        <v>388</v>
      </c>
      <c r="B180" s="127" t="s">
        <v>1021</v>
      </c>
      <c r="C180" s="127" t="s">
        <v>389</v>
      </c>
      <c r="D180" s="127" t="s">
        <v>380</v>
      </c>
      <c r="E180" s="126" t="s">
        <v>390</v>
      </c>
      <c r="F180" s="132">
        <v>562.37</v>
      </c>
      <c r="G180" s="127" t="s">
        <v>82</v>
      </c>
      <c r="H180" s="132">
        <v>7</v>
      </c>
      <c r="I180" s="140">
        <v>3937</v>
      </c>
      <c r="J180" s="135" t="s">
        <v>1019</v>
      </c>
    </row>
    <row r="181" spans="1:10" ht="15.75" thickBot="1">
      <c r="A181" s="118">
        <v>-10</v>
      </c>
      <c r="B181" s="108" t="s">
        <v>1020</v>
      </c>
      <c r="C181" s="108">
        <v>10</v>
      </c>
      <c r="D181" s="108"/>
      <c r="E181" s="118" t="s">
        <v>391</v>
      </c>
      <c r="F181" s="129">
        <v>85.54</v>
      </c>
      <c r="G181" s="108" t="s">
        <v>82</v>
      </c>
      <c r="H181" s="129">
        <v>20</v>
      </c>
      <c r="I181" s="138">
        <v>1711</v>
      </c>
      <c r="J181" s="110"/>
    </row>
    <row r="182" spans="1:10" ht="15.75" thickBot="1">
      <c r="A182" s="122" t="s">
        <v>392</v>
      </c>
      <c r="B182" s="123" t="s">
        <v>1022</v>
      </c>
      <c r="C182" s="123" t="s">
        <v>393</v>
      </c>
      <c r="D182" s="123" t="s">
        <v>391</v>
      </c>
      <c r="E182" s="122" t="s">
        <v>394</v>
      </c>
      <c r="F182" s="130">
        <v>42.77</v>
      </c>
      <c r="G182" s="123" t="s">
        <v>82</v>
      </c>
      <c r="H182" s="130">
        <v>15</v>
      </c>
      <c r="I182" s="139">
        <v>642</v>
      </c>
      <c r="J182" s="134"/>
    </row>
    <row r="183" spans="1:10" s="126" customFormat="1" ht="13.5" thickBot="1">
      <c r="B183" s="127" t="s">
        <v>1021</v>
      </c>
      <c r="C183" s="127"/>
      <c r="D183" s="127" t="s">
        <v>391</v>
      </c>
      <c r="E183" s="126" t="s">
        <v>394</v>
      </c>
      <c r="F183" s="132"/>
      <c r="G183" s="127"/>
      <c r="H183" s="132"/>
      <c r="I183" s="140">
        <v>642</v>
      </c>
      <c r="J183" s="135" t="s">
        <v>1018</v>
      </c>
    </row>
    <row r="184" spans="1:10" ht="15.75" thickBot="1">
      <c r="A184" s="122" t="s">
        <v>395</v>
      </c>
      <c r="B184" s="123" t="s">
        <v>1022</v>
      </c>
      <c r="C184" s="123" t="s">
        <v>396</v>
      </c>
      <c r="D184" s="123" t="s">
        <v>391</v>
      </c>
      <c r="E184" s="122" t="s">
        <v>397</v>
      </c>
      <c r="F184" s="130">
        <v>42.77</v>
      </c>
      <c r="G184" s="123" t="s">
        <v>82</v>
      </c>
      <c r="H184" s="130">
        <v>25</v>
      </c>
      <c r="I184" s="139">
        <v>1069</v>
      </c>
      <c r="J184" s="134"/>
    </row>
    <row r="185" spans="1:10" s="126" customFormat="1" ht="13.5" thickBot="1">
      <c r="A185" s="126" t="s">
        <v>398</v>
      </c>
      <c r="B185" s="127" t="s">
        <v>1021</v>
      </c>
      <c r="C185" s="127" t="s">
        <v>399</v>
      </c>
      <c r="D185" s="127" t="s">
        <v>391</v>
      </c>
      <c r="E185" s="126" t="s">
        <v>400</v>
      </c>
      <c r="F185" s="132">
        <v>42.77</v>
      </c>
      <c r="G185" s="127" t="s">
        <v>82</v>
      </c>
      <c r="H185" s="132">
        <v>25</v>
      </c>
      <c r="I185" s="140">
        <v>1069</v>
      </c>
      <c r="J185" s="135" t="s">
        <v>1019</v>
      </c>
    </row>
    <row r="186" spans="1:10" ht="16.5" customHeight="1" thickBot="1">
      <c r="A186" s="118">
        <v>-11</v>
      </c>
      <c r="B186" s="108" t="s">
        <v>1020</v>
      </c>
      <c r="C186" s="108">
        <v>11</v>
      </c>
      <c r="D186" s="108"/>
      <c r="E186" s="118" t="s">
        <v>401</v>
      </c>
      <c r="F186" s="129">
        <v>24.33</v>
      </c>
      <c r="G186" s="108" t="s">
        <v>82</v>
      </c>
      <c r="H186" s="129">
        <v>39.299999999999997</v>
      </c>
      <c r="I186" s="138">
        <v>956</v>
      </c>
      <c r="J186" s="110"/>
    </row>
    <row r="187" spans="1:10" ht="15.75" thickBot="1">
      <c r="A187" s="122" t="s">
        <v>402</v>
      </c>
      <c r="B187" s="123" t="s">
        <v>1022</v>
      </c>
      <c r="C187" s="123" t="s">
        <v>403</v>
      </c>
      <c r="D187" s="123" t="s">
        <v>401</v>
      </c>
      <c r="E187" s="122" t="s">
        <v>404</v>
      </c>
      <c r="F187" s="130">
        <v>24.33</v>
      </c>
      <c r="G187" s="123" t="s">
        <v>14</v>
      </c>
      <c r="H187" s="130">
        <v>21.3</v>
      </c>
      <c r="I187" s="139">
        <v>518</v>
      </c>
      <c r="J187" s="134"/>
    </row>
    <row r="188" spans="1:10" s="126" customFormat="1" ht="13.5" thickBot="1">
      <c r="A188" s="126" t="s">
        <v>405</v>
      </c>
      <c r="B188" s="127" t="s">
        <v>1021</v>
      </c>
      <c r="C188" s="127">
        <v>43147</v>
      </c>
      <c r="D188" s="127" t="s">
        <v>401</v>
      </c>
      <c r="E188" s="126" t="s">
        <v>406</v>
      </c>
      <c r="F188" s="132">
        <v>29.2</v>
      </c>
      <c r="G188" s="127" t="s">
        <v>14</v>
      </c>
      <c r="H188" s="132">
        <v>17.75</v>
      </c>
      <c r="I188" s="140">
        <v>518</v>
      </c>
      <c r="J188" s="135" t="s">
        <v>1018</v>
      </c>
    </row>
    <row r="189" spans="1:10" ht="15.75" thickBot="1">
      <c r="A189" s="122" t="s">
        <v>407</v>
      </c>
      <c r="B189" s="123" t="s">
        <v>1022</v>
      </c>
      <c r="C189" s="123" t="s">
        <v>408</v>
      </c>
      <c r="D189" s="123" t="s">
        <v>401</v>
      </c>
      <c r="E189" s="122" t="s">
        <v>409</v>
      </c>
      <c r="F189" s="130">
        <v>24.33</v>
      </c>
      <c r="G189" s="123" t="s">
        <v>82</v>
      </c>
      <c r="H189" s="130">
        <v>18</v>
      </c>
      <c r="I189" s="139">
        <v>438</v>
      </c>
      <c r="J189" s="134"/>
    </row>
    <row r="190" spans="1:10" s="126" customFormat="1" ht="13.5" thickBot="1">
      <c r="A190" s="126" t="s">
        <v>410</v>
      </c>
      <c r="B190" s="127" t="s">
        <v>1021</v>
      </c>
      <c r="C190" s="127" t="s">
        <v>411</v>
      </c>
      <c r="D190" s="127" t="s">
        <v>401</v>
      </c>
      <c r="E190" s="126" t="s">
        <v>412</v>
      </c>
      <c r="F190" s="132">
        <v>29.2</v>
      </c>
      <c r="G190" s="127" t="s">
        <v>82</v>
      </c>
      <c r="H190" s="132">
        <v>15</v>
      </c>
      <c r="I190" s="140">
        <v>438</v>
      </c>
      <c r="J190" s="135" t="s">
        <v>1019</v>
      </c>
    </row>
    <row r="191" spans="1:10" ht="15.75" thickBot="1">
      <c r="A191" s="118">
        <v>-12</v>
      </c>
      <c r="B191" s="108" t="s">
        <v>1020</v>
      </c>
      <c r="C191" s="108">
        <v>12</v>
      </c>
      <c r="D191" s="108"/>
      <c r="E191" s="118" t="s">
        <v>413</v>
      </c>
      <c r="F191" s="129">
        <v>2693.28</v>
      </c>
      <c r="G191" s="108" t="s">
        <v>82</v>
      </c>
      <c r="H191" s="129">
        <v>30.35</v>
      </c>
      <c r="I191" s="138">
        <v>81743</v>
      </c>
      <c r="J191" s="110"/>
    </row>
    <row r="192" spans="1:10" ht="15.75" thickBot="1">
      <c r="A192" s="122" t="s">
        <v>414</v>
      </c>
      <c r="B192" s="123" t="s">
        <v>1022</v>
      </c>
      <c r="C192" s="123" t="s">
        <v>415</v>
      </c>
      <c r="D192" s="123" t="s">
        <v>413</v>
      </c>
      <c r="E192" s="122" t="s">
        <v>416</v>
      </c>
      <c r="F192" s="130">
        <v>523.83000000000004</v>
      </c>
      <c r="G192" s="123" t="s">
        <v>82</v>
      </c>
      <c r="H192" s="130">
        <v>27.5</v>
      </c>
      <c r="I192" s="139">
        <v>14405</v>
      </c>
      <c r="J192" s="134"/>
    </row>
    <row r="193" spans="1:10" s="126" customFormat="1" ht="13.5" thickBot="1">
      <c r="A193" s="126" t="s">
        <v>417</v>
      </c>
      <c r="B193" s="127" t="s">
        <v>1021</v>
      </c>
      <c r="C193" s="127" t="s">
        <v>418</v>
      </c>
      <c r="D193" s="127" t="s">
        <v>413</v>
      </c>
      <c r="E193" s="126" t="s">
        <v>419</v>
      </c>
      <c r="F193" s="132"/>
      <c r="G193" s="127" t="s">
        <v>82</v>
      </c>
      <c r="H193" s="132">
        <v>25</v>
      </c>
      <c r="I193" s="140">
        <v>14405</v>
      </c>
      <c r="J193" s="135" t="s">
        <v>1018</v>
      </c>
    </row>
    <row r="194" spans="1:10" ht="15.75" thickBot="1">
      <c r="A194" s="122" t="s">
        <v>420</v>
      </c>
      <c r="B194" s="123" t="s">
        <v>1022</v>
      </c>
      <c r="C194" s="123" t="s">
        <v>421</v>
      </c>
      <c r="D194" s="123" t="s">
        <v>413</v>
      </c>
      <c r="E194" s="122" t="s">
        <v>422</v>
      </c>
      <c r="F194" s="130">
        <v>345.04</v>
      </c>
      <c r="G194" s="123" t="s">
        <v>82</v>
      </c>
      <c r="H194" s="130">
        <v>38.5</v>
      </c>
      <c r="I194" s="139">
        <v>13284</v>
      </c>
      <c r="J194" s="134"/>
    </row>
    <row r="195" spans="1:10" s="126" customFormat="1" ht="13.5" thickBot="1">
      <c r="A195" s="126" t="s">
        <v>423</v>
      </c>
      <c r="B195" s="127" t="s">
        <v>1021</v>
      </c>
      <c r="C195" s="127" t="s">
        <v>424</v>
      </c>
      <c r="D195" s="127" t="s">
        <v>413</v>
      </c>
      <c r="E195" s="126" t="s">
        <v>425</v>
      </c>
      <c r="F195" s="132">
        <v>379.54</v>
      </c>
      <c r="G195" s="127" t="s">
        <v>82</v>
      </c>
      <c r="H195" s="132">
        <v>35</v>
      </c>
      <c r="I195" s="140">
        <v>13284</v>
      </c>
      <c r="J195" s="135" t="s">
        <v>1018</v>
      </c>
    </row>
    <row r="196" spans="1:10" ht="15.75" thickBot="1">
      <c r="A196" s="122" t="s">
        <v>426</v>
      </c>
      <c r="B196" s="123" t="s">
        <v>1022</v>
      </c>
      <c r="C196" s="123" t="s">
        <v>427</v>
      </c>
      <c r="D196" s="123" t="s">
        <v>413</v>
      </c>
      <c r="E196" s="122" t="s">
        <v>428</v>
      </c>
      <c r="F196" s="130">
        <v>9.68</v>
      </c>
      <c r="G196" s="123" t="s">
        <v>82</v>
      </c>
      <c r="H196" s="130">
        <v>291.64999999999998</v>
      </c>
      <c r="I196" s="139">
        <v>2822</v>
      </c>
      <c r="J196" s="134"/>
    </row>
    <row r="197" spans="1:10" s="126" customFormat="1" ht="13.5" thickBot="1">
      <c r="A197" s="126" t="s">
        <v>429</v>
      </c>
      <c r="B197" s="127" t="s">
        <v>1021</v>
      </c>
      <c r="C197" s="127">
        <v>25981</v>
      </c>
      <c r="D197" s="127" t="s">
        <v>413</v>
      </c>
      <c r="E197" s="126" t="s">
        <v>430</v>
      </c>
      <c r="F197" s="132">
        <v>9.68</v>
      </c>
      <c r="G197" s="127" t="s">
        <v>82</v>
      </c>
      <c r="H197" s="132">
        <v>291.64999999999998</v>
      </c>
      <c r="I197" s="140">
        <v>2822</v>
      </c>
      <c r="J197" s="135" t="s">
        <v>1018</v>
      </c>
    </row>
    <row r="198" spans="1:10" ht="15.75" thickBot="1">
      <c r="A198" s="122" t="s">
        <v>431</v>
      </c>
      <c r="B198" s="123" t="s">
        <v>1022</v>
      </c>
      <c r="C198" s="123" t="s">
        <v>432</v>
      </c>
      <c r="D198" s="123" t="s">
        <v>413</v>
      </c>
      <c r="E198" s="122" t="s">
        <v>433</v>
      </c>
      <c r="F198" s="130">
        <v>1.57</v>
      </c>
      <c r="G198" s="123" t="s">
        <v>82</v>
      </c>
      <c r="H198" s="130">
        <v>291.64999999999998</v>
      </c>
      <c r="I198" s="139">
        <v>457</v>
      </c>
      <c r="J198" s="134"/>
    </row>
    <row r="199" spans="1:10" s="126" customFormat="1" ht="13.5" thickBot="1">
      <c r="A199" s="126" t="s">
        <v>434</v>
      </c>
      <c r="B199" s="127" t="s">
        <v>1021</v>
      </c>
      <c r="C199" s="127">
        <v>25981</v>
      </c>
      <c r="D199" s="127" t="s">
        <v>413</v>
      </c>
      <c r="E199" s="126" t="s">
        <v>430</v>
      </c>
      <c r="F199" s="132">
        <v>1.57</v>
      </c>
      <c r="G199" s="127" t="s">
        <v>82</v>
      </c>
      <c r="H199" s="132">
        <v>291.64999999999998</v>
      </c>
      <c r="I199" s="140">
        <v>457</v>
      </c>
      <c r="J199" s="135" t="s">
        <v>1018</v>
      </c>
    </row>
    <row r="200" spans="1:10" ht="15.75" thickBot="1">
      <c r="A200" s="122" t="s">
        <v>435</v>
      </c>
      <c r="B200" s="123" t="s">
        <v>1022</v>
      </c>
      <c r="C200" s="123" t="s">
        <v>436</v>
      </c>
      <c r="D200" s="123" t="s">
        <v>413</v>
      </c>
      <c r="E200" s="122" t="s">
        <v>437</v>
      </c>
      <c r="F200" s="130">
        <v>868.87</v>
      </c>
      <c r="G200" s="123" t="s">
        <v>82</v>
      </c>
      <c r="H200" s="130">
        <v>4.0999999999999996</v>
      </c>
      <c r="I200" s="139">
        <v>3559</v>
      </c>
      <c r="J200" s="134"/>
    </row>
    <row r="201" spans="1:10" s="126" customFormat="1" ht="12.75">
      <c r="A201" s="126" t="s">
        <v>438</v>
      </c>
      <c r="B201" s="127" t="s">
        <v>1021</v>
      </c>
      <c r="C201" s="127">
        <v>1381</v>
      </c>
      <c r="D201" s="127" t="s">
        <v>413</v>
      </c>
      <c r="E201" s="126" t="s">
        <v>439</v>
      </c>
      <c r="F201" s="132">
        <v>4222.6899999999996</v>
      </c>
      <c r="G201" s="127" t="s">
        <v>14</v>
      </c>
      <c r="H201" s="132">
        <v>0.51</v>
      </c>
      <c r="I201" s="140">
        <v>2154</v>
      </c>
      <c r="J201" s="135" t="s">
        <v>1018</v>
      </c>
    </row>
    <row r="202" spans="1:10" s="126" customFormat="1" ht="12.75">
      <c r="A202" s="126" t="s">
        <v>440</v>
      </c>
      <c r="B202" s="127" t="s">
        <v>1021</v>
      </c>
      <c r="C202" s="127" t="s">
        <v>441</v>
      </c>
      <c r="D202" s="127" t="s">
        <v>413</v>
      </c>
      <c r="E202" s="126" t="s">
        <v>442</v>
      </c>
      <c r="F202" s="132">
        <v>13032.98</v>
      </c>
      <c r="G202" s="127" t="s">
        <v>50</v>
      </c>
      <c r="H202" s="132">
        <v>0.05</v>
      </c>
      <c r="I202" s="140">
        <v>652</v>
      </c>
      <c r="J202" s="135" t="s">
        <v>1018</v>
      </c>
    </row>
    <row r="203" spans="1:10" s="126" customFormat="1" ht="13.5" thickBot="1">
      <c r="A203" s="126" t="s">
        <v>443</v>
      </c>
      <c r="B203" s="127" t="s">
        <v>1021</v>
      </c>
      <c r="C203" s="127">
        <v>34357</v>
      </c>
      <c r="D203" s="127" t="s">
        <v>413</v>
      </c>
      <c r="E203" s="126" t="s">
        <v>444</v>
      </c>
      <c r="F203" s="132">
        <v>251.97</v>
      </c>
      <c r="G203" s="127" t="s">
        <v>14</v>
      </c>
      <c r="H203" s="132">
        <v>2.99</v>
      </c>
      <c r="I203" s="140">
        <v>753</v>
      </c>
      <c r="J203" s="135" t="s">
        <v>1018</v>
      </c>
    </row>
    <row r="204" spans="1:10" ht="15.75" thickBot="1">
      <c r="A204" s="122" t="s">
        <v>445</v>
      </c>
      <c r="B204" s="123" t="s">
        <v>1022</v>
      </c>
      <c r="C204" s="123" t="s">
        <v>446</v>
      </c>
      <c r="D204" s="123" t="s">
        <v>413</v>
      </c>
      <c r="E204" s="122" t="s">
        <v>447</v>
      </c>
      <c r="F204" s="130">
        <v>944.31</v>
      </c>
      <c r="G204" s="123" t="s">
        <v>82</v>
      </c>
      <c r="H204" s="130">
        <v>50</v>
      </c>
      <c r="I204" s="139">
        <v>47215</v>
      </c>
      <c r="J204" s="134"/>
    </row>
    <row r="205" spans="1:10" s="126" customFormat="1" ht="13.5" thickBot="1">
      <c r="A205" s="126" t="s">
        <v>448</v>
      </c>
      <c r="B205" s="127" t="s">
        <v>1021</v>
      </c>
      <c r="C205" s="127" t="s">
        <v>449</v>
      </c>
      <c r="D205" s="127" t="s">
        <v>413</v>
      </c>
      <c r="E205" s="126" t="s">
        <v>450</v>
      </c>
      <c r="F205" s="132">
        <v>944.31</v>
      </c>
      <c r="G205" s="127" t="s">
        <v>82</v>
      </c>
      <c r="H205" s="132">
        <v>50</v>
      </c>
      <c r="I205" s="140">
        <v>47215</v>
      </c>
      <c r="J205" s="135" t="s">
        <v>1019</v>
      </c>
    </row>
    <row r="206" spans="1:10" ht="15.75" thickBot="1">
      <c r="A206" s="118">
        <v>-13</v>
      </c>
      <c r="B206" s="108" t="s">
        <v>1020</v>
      </c>
      <c r="C206" s="108">
        <v>13</v>
      </c>
      <c r="D206" s="108"/>
      <c r="E206" s="118" t="s">
        <v>451</v>
      </c>
      <c r="F206" s="129">
        <v>1789.8</v>
      </c>
      <c r="G206" s="108" t="s">
        <v>82</v>
      </c>
      <c r="H206" s="129">
        <v>15.22</v>
      </c>
      <c r="I206" s="138">
        <v>27245</v>
      </c>
      <c r="J206" s="110"/>
    </row>
    <row r="207" spans="1:10" s="126" customFormat="1" ht="13.5" thickBot="1">
      <c r="A207" s="122" t="s">
        <v>452</v>
      </c>
      <c r="B207" s="123" t="s">
        <v>1022</v>
      </c>
      <c r="C207" s="123" t="s">
        <v>453</v>
      </c>
      <c r="D207" s="123" t="s">
        <v>451</v>
      </c>
      <c r="E207" s="122" t="s">
        <v>454</v>
      </c>
      <c r="F207" s="130">
        <v>30659.35</v>
      </c>
      <c r="G207" s="123" t="s">
        <v>14</v>
      </c>
      <c r="H207" s="130">
        <v>0.48</v>
      </c>
      <c r="I207" s="139">
        <v>14716</v>
      </c>
      <c r="J207" s="134"/>
    </row>
    <row r="208" spans="1:10" s="126" customFormat="1" ht="13.5" thickBot="1">
      <c r="A208" s="126" t="s">
        <v>455</v>
      </c>
      <c r="B208" s="127" t="s">
        <v>1021</v>
      </c>
      <c r="C208" s="127">
        <v>3315</v>
      </c>
      <c r="D208" s="127" t="s">
        <v>451</v>
      </c>
      <c r="E208" s="126" t="s">
        <v>456</v>
      </c>
      <c r="F208" s="132">
        <v>30659.35</v>
      </c>
      <c r="G208" s="127" t="s">
        <v>14</v>
      </c>
      <c r="H208" s="132">
        <v>0.48</v>
      </c>
      <c r="I208" s="140">
        <v>14716</v>
      </c>
      <c r="J208" s="135" t="s">
        <v>1018</v>
      </c>
    </row>
    <row r="209" spans="1:10" s="126" customFormat="1" ht="13.5" thickBot="1">
      <c r="A209" s="122" t="s">
        <v>457</v>
      </c>
      <c r="B209" s="123" t="s">
        <v>1022</v>
      </c>
      <c r="C209" s="123" t="s">
        <v>458</v>
      </c>
      <c r="D209" s="123" t="s">
        <v>451</v>
      </c>
      <c r="E209" s="122" t="s">
        <v>459</v>
      </c>
      <c r="F209" s="130">
        <v>1789.8</v>
      </c>
      <c r="G209" s="123" t="s">
        <v>82</v>
      </c>
      <c r="H209" s="130">
        <v>7</v>
      </c>
      <c r="I209" s="139">
        <v>12529</v>
      </c>
      <c r="J209" s="134"/>
    </row>
    <row r="210" spans="1:10" s="126" customFormat="1" ht="13.5" thickBot="1">
      <c r="A210" s="126" t="s">
        <v>460</v>
      </c>
      <c r="B210" s="127" t="s">
        <v>1021</v>
      </c>
      <c r="C210" s="127" t="s">
        <v>461</v>
      </c>
      <c r="D210" s="127" t="s">
        <v>451</v>
      </c>
      <c r="E210" s="126" t="s">
        <v>462</v>
      </c>
      <c r="F210" s="132">
        <v>1789.8</v>
      </c>
      <c r="G210" s="127" t="s">
        <v>82</v>
      </c>
      <c r="H210" s="132">
        <v>7</v>
      </c>
      <c r="I210" s="140">
        <v>12529</v>
      </c>
      <c r="J210" s="135" t="s">
        <v>1019</v>
      </c>
    </row>
    <row r="211" spans="1:10" s="126" customFormat="1" ht="13.5" thickBot="1">
      <c r="A211" s="118">
        <v>-14</v>
      </c>
      <c r="B211" s="108" t="s">
        <v>1020</v>
      </c>
      <c r="C211" s="108">
        <v>14</v>
      </c>
      <c r="D211" s="108"/>
      <c r="E211" s="118" t="s">
        <v>463</v>
      </c>
      <c r="F211" s="129">
        <v>84</v>
      </c>
      <c r="G211" s="108" t="s">
        <v>50</v>
      </c>
      <c r="H211" s="129">
        <v>1261.9000000000001</v>
      </c>
      <c r="I211" s="138">
        <v>106000</v>
      </c>
      <c r="J211" s="110"/>
    </row>
    <row r="212" spans="1:10" s="126" customFormat="1" ht="13.5" thickBot="1">
      <c r="A212" s="122" t="s">
        <v>464</v>
      </c>
      <c r="B212" s="123" t="s">
        <v>1022</v>
      </c>
      <c r="C212" s="123" t="s">
        <v>465</v>
      </c>
      <c r="D212" s="123" t="s">
        <v>463</v>
      </c>
      <c r="E212" s="122" t="s">
        <v>466</v>
      </c>
      <c r="F212" s="130">
        <v>84</v>
      </c>
      <c r="G212" s="123" t="s">
        <v>50</v>
      </c>
      <c r="H212" s="130">
        <v>1261.9000000000001</v>
      </c>
      <c r="I212" s="139">
        <v>106000</v>
      </c>
      <c r="J212" s="134"/>
    </row>
    <row r="213" spans="1:10" s="126" customFormat="1" ht="12.75">
      <c r="A213" s="126" t="s">
        <v>467</v>
      </c>
      <c r="B213" s="127" t="s">
        <v>1021</v>
      </c>
      <c r="C213" s="127" t="s">
        <v>468</v>
      </c>
      <c r="D213" s="127" t="s">
        <v>463</v>
      </c>
      <c r="E213" s="126" t="s">
        <v>469</v>
      </c>
      <c r="F213" s="132">
        <v>16</v>
      </c>
      <c r="G213" s="127" t="s">
        <v>50</v>
      </c>
      <c r="H213" s="132">
        <v>1500</v>
      </c>
      <c r="I213" s="140">
        <v>24000</v>
      </c>
      <c r="J213" s="135" t="s">
        <v>1018</v>
      </c>
    </row>
    <row r="214" spans="1:10" s="126" customFormat="1" ht="12.75">
      <c r="A214" s="126" t="s">
        <v>470</v>
      </c>
      <c r="B214" s="127" t="s">
        <v>1021</v>
      </c>
      <c r="C214" s="127" t="s">
        <v>471</v>
      </c>
      <c r="D214" s="127" t="s">
        <v>463</v>
      </c>
      <c r="E214" s="126" t="s">
        <v>472</v>
      </c>
      <c r="F214" s="132">
        <v>16</v>
      </c>
      <c r="G214" s="127" t="s">
        <v>50</v>
      </c>
      <c r="H214" s="132">
        <v>350</v>
      </c>
      <c r="I214" s="140">
        <v>5600</v>
      </c>
      <c r="J214" s="135" t="s">
        <v>1018</v>
      </c>
    </row>
    <row r="215" spans="1:10">
      <c r="A215" s="126" t="s">
        <v>473</v>
      </c>
      <c r="B215" s="127" t="s">
        <v>1021</v>
      </c>
      <c r="C215" s="127" t="s">
        <v>474</v>
      </c>
      <c r="D215" s="127" t="s">
        <v>463</v>
      </c>
      <c r="E215" s="126" t="s">
        <v>475</v>
      </c>
      <c r="F215" s="132">
        <v>16</v>
      </c>
      <c r="G215" s="127" t="s">
        <v>50</v>
      </c>
      <c r="H215" s="132">
        <v>1200</v>
      </c>
      <c r="I215" s="140">
        <v>19200</v>
      </c>
      <c r="J215" s="135" t="s">
        <v>1018</v>
      </c>
    </row>
    <row r="216" spans="1:10">
      <c r="A216" s="126" t="s">
        <v>476</v>
      </c>
      <c r="B216" s="127" t="s">
        <v>1021</v>
      </c>
      <c r="C216" s="127" t="s">
        <v>477</v>
      </c>
      <c r="D216" s="127" t="s">
        <v>463</v>
      </c>
      <c r="E216" s="126" t="s">
        <v>478</v>
      </c>
      <c r="F216" s="132">
        <v>19</v>
      </c>
      <c r="G216" s="127" t="s">
        <v>50</v>
      </c>
      <c r="H216" s="132">
        <v>800</v>
      </c>
      <c r="I216" s="140">
        <v>15200</v>
      </c>
      <c r="J216" s="135" t="s">
        <v>1018</v>
      </c>
    </row>
    <row r="217" spans="1:10" s="126" customFormat="1" ht="12.75">
      <c r="A217" s="126" t="s">
        <v>479</v>
      </c>
      <c r="B217" s="127" t="s">
        <v>1021</v>
      </c>
      <c r="C217" s="127" t="s">
        <v>480</v>
      </c>
      <c r="D217" s="127" t="s">
        <v>463</v>
      </c>
      <c r="E217" s="126" t="s">
        <v>481</v>
      </c>
      <c r="F217" s="132">
        <v>16</v>
      </c>
      <c r="G217" s="127" t="s">
        <v>50</v>
      </c>
      <c r="H217" s="132">
        <v>1200</v>
      </c>
      <c r="I217" s="140">
        <v>19200</v>
      </c>
      <c r="J217" s="135" t="s">
        <v>1018</v>
      </c>
    </row>
    <row r="218" spans="1:10">
      <c r="A218" s="126" t="s">
        <v>482</v>
      </c>
      <c r="B218" s="127" t="s">
        <v>1021</v>
      </c>
      <c r="C218" s="127" t="s">
        <v>483</v>
      </c>
      <c r="D218" s="127" t="s">
        <v>463</v>
      </c>
      <c r="E218" s="126" t="s">
        <v>484</v>
      </c>
      <c r="F218" s="132">
        <v>1</v>
      </c>
      <c r="G218" s="127" t="s">
        <v>50</v>
      </c>
      <c r="H218" s="132">
        <v>1800</v>
      </c>
      <c r="I218" s="140">
        <v>1800</v>
      </c>
      <c r="J218" s="135" t="s">
        <v>1018</v>
      </c>
    </row>
    <row r="219" spans="1:10" s="126" customFormat="1" ht="13.5" thickBot="1">
      <c r="A219" s="126" t="s">
        <v>485</v>
      </c>
      <c r="B219" s="127" t="s">
        <v>1021</v>
      </c>
      <c r="C219" s="127" t="s">
        <v>486</v>
      </c>
      <c r="D219" s="127" t="s">
        <v>463</v>
      </c>
      <c r="E219" s="126" t="s">
        <v>487</v>
      </c>
      <c r="F219" s="132">
        <v>84</v>
      </c>
      <c r="G219" s="127" t="s">
        <v>50</v>
      </c>
      <c r="H219" s="132">
        <v>250</v>
      </c>
      <c r="I219" s="140">
        <v>21000</v>
      </c>
      <c r="J219" s="135" t="s">
        <v>1019</v>
      </c>
    </row>
    <row r="220" spans="1:10" s="126" customFormat="1" ht="13.5" thickBot="1">
      <c r="A220" s="118">
        <v>-15</v>
      </c>
      <c r="B220" s="108" t="s">
        <v>1020</v>
      </c>
      <c r="C220" s="108">
        <v>15</v>
      </c>
      <c r="D220" s="108"/>
      <c r="E220" s="118" t="s">
        <v>488</v>
      </c>
      <c r="F220" s="129">
        <v>16</v>
      </c>
      <c r="G220" s="108" t="s">
        <v>213</v>
      </c>
      <c r="H220" s="129">
        <v>1283.6300000000001</v>
      </c>
      <c r="I220" s="138">
        <v>20538</v>
      </c>
      <c r="J220" s="110"/>
    </row>
    <row r="221" spans="1:10" ht="15.75" thickBot="1">
      <c r="A221" s="122" t="s">
        <v>489</v>
      </c>
      <c r="B221" s="123" t="s">
        <v>1022</v>
      </c>
      <c r="C221" s="123" t="s">
        <v>490</v>
      </c>
      <c r="D221" s="123" t="s">
        <v>488</v>
      </c>
      <c r="E221" s="122" t="s">
        <v>491</v>
      </c>
      <c r="F221" s="130">
        <v>3908.12</v>
      </c>
      <c r="G221" s="123" t="s">
        <v>30</v>
      </c>
      <c r="H221" s="130">
        <v>1.98</v>
      </c>
      <c r="I221" s="139">
        <v>7738</v>
      </c>
      <c r="J221" s="134"/>
    </row>
    <row r="222" spans="1:10" ht="15.75" thickBot="1">
      <c r="A222" s="126" t="s">
        <v>492</v>
      </c>
      <c r="B222" s="127" t="s">
        <v>1021</v>
      </c>
      <c r="C222" s="127">
        <v>91929</v>
      </c>
      <c r="D222" s="127" t="s">
        <v>488</v>
      </c>
      <c r="E222" s="126" t="s">
        <v>493</v>
      </c>
      <c r="F222" s="132">
        <v>4298.93</v>
      </c>
      <c r="G222" s="127" t="s">
        <v>5</v>
      </c>
      <c r="H222" s="132">
        <v>1.8</v>
      </c>
      <c r="I222" s="140">
        <v>7738</v>
      </c>
      <c r="J222" s="135" t="s">
        <v>1018</v>
      </c>
    </row>
    <row r="223" spans="1:10" ht="15.75" thickBot="1">
      <c r="A223" s="122" t="s">
        <v>494</v>
      </c>
      <c r="B223" s="123" t="s">
        <v>1022</v>
      </c>
      <c r="C223" s="123" t="s">
        <v>495</v>
      </c>
      <c r="D223" s="123" t="s">
        <v>488</v>
      </c>
      <c r="E223" s="122" t="s">
        <v>496</v>
      </c>
      <c r="F223" s="130">
        <v>16</v>
      </c>
      <c r="G223" s="123" t="s">
        <v>213</v>
      </c>
      <c r="H223" s="130">
        <v>800</v>
      </c>
      <c r="I223" s="139">
        <v>12800</v>
      </c>
      <c r="J223" s="134"/>
    </row>
    <row r="224" spans="1:10">
      <c r="A224" s="126" t="s">
        <v>497</v>
      </c>
      <c r="B224" s="127" t="s">
        <v>1021</v>
      </c>
      <c r="C224" s="127" t="s">
        <v>498</v>
      </c>
      <c r="D224" s="127" t="s">
        <v>488</v>
      </c>
      <c r="E224" s="126" t="s">
        <v>499</v>
      </c>
      <c r="F224" s="132">
        <v>16</v>
      </c>
      <c r="G224" s="127" t="s">
        <v>213</v>
      </c>
      <c r="H224" s="132">
        <v>450</v>
      </c>
      <c r="I224" s="140">
        <v>7200</v>
      </c>
      <c r="J224" s="135" t="s">
        <v>1019</v>
      </c>
    </row>
    <row r="225" spans="1:10" ht="15.75" thickBot="1">
      <c r="A225" s="126" t="s">
        <v>500</v>
      </c>
      <c r="B225" s="127" t="s">
        <v>1021</v>
      </c>
      <c r="C225" s="127" t="s">
        <v>501</v>
      </c>
      <c r="D225" s="127" t="s">
        <v>488</v>
      </c>
      <c r="E225" s="126" t="s">
        <v>502</v>
      </c>
      <c r="F225" s="132">
        <v>16</v>
      </c>
      <c r="G225" s="127" t="s">
        <v>213</v>
      </c>
      <c r="H225" s="132">
        <v>350</v>
      </c>
      <c r="I225" s="140">
        <v>5600</v>
      </c>
      <c r="J225" s="135" t="s">
        <v>1019</v>
      </c>
    </row>
    <row r="226" spans="1:10" ht="15.75" thickBot="1">
      <c r="A226" s="118">
        <v>-16</v>
      </c>
      <c r="B226" s="108" t="s">
        <v>1020</v>
      </c>
      <c r="C226" s="108">
        <v>16</v>
      </c>
      <c r="D226" s="108"/>
      <c r="E226" s="118" t="s">
        <v>503</v>
      </c>
      <c r="F226" s="129">
        <v>234.3</v>
      </c>
      <c r="G226" s="108" t="s">
        <v>82</v>
      </c>
      <c r="H226" s="129">
        <v>39.22</v>
      </c>
      <c r="I226" s="138">
        <v>9190</v>
      </c>
      <c r="J226" s="110"/>
    </row>
    <row r="227" spans="1:10" ht="15.75" thickBot="1">
      <c r="A227" s="122" t="s">
        <v>504</v>
      </c>
      <c r="B227" s="123" t="s">
        <v>1022</v>
      </c>
      <c r="C227" s="123" t="s">
        <v>505</v>
      </c>
      <c r="D227" s="123" t="s">
        <v>503</v>
      </c>
      <c r="E227" s="122" t="s">
        <v>506</v>
      </c>
      <c r="F227" s="130">
        <v>117.15</v>
      </c>
      <c r="G227" s="123" t="s">
        <v>82</v>
      </c>
      <c r="H227" s="130">
        <v>53.45</v>
      </c>
      <c r="I227" s="139">
        <v>6261</v>
      </c>
      <c r="J227" s="134"/>
    </row>
    <row r="228" spans="1:10">
      <c r="A228" s="126" t="s">
        <v>507</v>
      </c>
      <c r="B228" s="127" t="s">
        <v>1021</v>
      </c>
      <c r="C228" s="127">
        <v>39413</v>
      </c>
      <c r="D228" s="127" t="s">
        <v>503</v>
      </c>
      <c r="E228" s="126" t="s">
        <v>508</v>
      </c>
      <c r="F228" s="132">
        <v>124.94</v>
      </c>
      <c r="G228" s="127" t="s">
        <v>82</v>
      </c>
      <c r="H228" s="132">
        <v>16.68</v>
      </c>
      <c r="I228" s="140">
        <v>2084</v>
      </c>
      <c r="J228" s="135" t="s">
        <v>1018</v>
      </c>
    </row>
    <row r="229" spans="1:10">
      <c r="A229" s="126" t="s">
        <v>509</v>
      </c>
      <c r="B229" s="127" t="s">
        <v>1021</v>
      </c>
      <c r="C229" s="127">
        <v>39427</v>
      </c>
      <c r="D229" s="127" t="s">
        <v>503</v>
      </c>
      <c r="E229" s="126" t="s">
        <v>510</v>
      </c>
      <c r="F229" s="132">
        <v>281.16000000000003</v>
      </c>
      <c r="G229" s="127" t="s">
        <v>5</v>
      </c>
      <c r="H229" s="132">
        <v>8.4600000000000009</v>
      </c>
      <c r="I229" s="140">
        <v>2379</v>
      </c>
      <c r="J229" s="135" t="s">
        <v>1018</v>
      </c>
    </row>
    <row r="230" spans="1:10">
      <c r="A230" s="126" t="s">
        <v>511</v>
      </c>
      <c r="B230" s="127" t="s">
        <v>1021</v>
      </c>
      <c r="C230" s="127">
        <v>39430</v>
      </c>
      <c r="D230" s="127" t="s">
        <v>503</v>
      </c>
      <c r="E230" s="126" t="s">
        <v>512</v>
      </c>
      <c r="F230" s="132">
        <v>259.16000000000003</v>
      </c>
      <c r="G230" s="127" t="s">
        <v>50</v>
      </c>
      <c r="H230" s="132">
        <v>3.19</v>
      </c>
      <c r="I230" s="140">
        <v>827</v>
      </c>
      <c r="J230" s="135" t="s">
        <v>1018</v>
      </c>
    </row>
    <row r="231" spans="1:10">
      <c r="A231" s="126" t="s">
        <v>513</v>
      </c>
      <c r="B231" s="127" t="s">
        <v>1021</v>
      </c>
      <c r="C231" s="127">
        <v>39432</v>
      </c>
      <c r="D231" s="127" t="s">
        <v>503</v>
      </c>
      <c r="E231" s="126" t="s">
        <v>514</v>
      </c>
      <c r="F231" s="132">
        <v>168.74</v>
      </c>
      <c r="G231" s="127" t="s">
        <v>5</v>
      </c>
      <c r="H231" s="132">
        <v>2.4700000000000002</v>
      </c>
      <c r="I231" s="140">
        <v>417</v>
      </c>
      <c r="J231" s="135" t="s">
        <v>1018</v>
      </c>
    </row>
    <row r="232" spans="1:10">
      <c r="A232" s="126" t="s">
        <v>515</v>
      </c>
      <c r="B232" s="127" t="s">
        <v>1021</v>
      </c>
      <c r="C232" s="127">
        <v>39434</v>
      </c>
      <c r="D232" s="127" t="s">
        <v>503</v>
      </c>
      <c r="E232" s="126" t="s">
        <v>797</v>
      </c>
      <c r="F232" s="132">
        <v>60.94</v>
      </c>
      <c r="G232" s="127" t="s">
        <v>14</v>
      </c>
      <c r="H232" s="132">
        <v>3.32</v>
      </c>
      <c r="I232" s="140">
        <v>202</v>
      </c>
      <c r="J232" s="135" t="s">
        <v>1018</v>
      </c>
    </row>
    <row r="233" spans="1:10">
      <c r="A233" s="126" t="s">
        <v>516</v>
      </c>
      <c r="B233" s="127" t="s">
        <v>1021</v>
      </c>
      <c r="C233" s="127">
        <v>39435</v>
      </c>
      <c r="D233" s="127" t="s">
        <v>503</v>
      </c>
      <c r="E233" s="126" t="s">
        <v>517</v>
      </c>
      <c r="F233" s="132">
        <v>934.16</v>
      </c>
      <c r="G233" s="127" t="s">
        <v>50</v>
      </c>
      <c r="H233" s="132">
        <v>0.06</v>
      </c>
      <c r="I233" s="140">
        <v>56</v>
      </c>
      <c r="J233" s="135" t="s">
        <v>1018</v>
      </c>
    </row>
    <row r="234" spans="1:10">
      <c r="A234" s="126" t="s">
        <v>518</v>
      </c>
      <c r="B234" s="127" t="s">
        <v>1021</v>
      </c>
      <c r="C234" s="127">
        <v>40547</v>
      </c>
      <c r="D234" s="127" t="s">
        <v>503</v>
      </c>
      <c r="E234" s="126" t="s">
        <v>519</v>
      </c>
      <c r="F234" s="132">
        <v>2.59</v>
      </c>
      <c r="G234" s="127" t="s">
        <v>520</v>
      </c>
      <c r="H234" s="132">
        <v>18.05</v>
      </c>
      <c r="I234" s="140">
        <v>47</v>
      </c>
      <c r="J234" s="135" t="s">
        <v>1018</v>
      </c>
    </row>
    <row r="235" spans="1:10" ht="15.75" thickBot="1">
      <c r="A235" s="126" t="s">
        <v>521</v>
      </c>
      <c r="B235" s="127" t="s">
        <v>1021</v>
      </c>
      <c r="C235" s="127">
        <v>43131</v>
      </c>
      <c r="D235" s="127" t="s">
        <v>503</v>
      </c>
      <c r="E235" s="126" t="s">
        <v>522</v>
      </c>
      <c r="F235" s="132">
        <v>8.33</v>
      </c>
      <c r="G235" s="127" t="s">
        <v>14</v>
      </c>
      <c r="H235" s="132">
        <v>30</v>
      </c>
      <c r="I235" s="140">
        <v>250</v>
      </c>
      <c r="J235" s="135" t="s">
        <v>1018</v>
      </c>
    </row>
    <row r="236" spans="1:10" ht="15.75" thickBot="1">
      <c r="A236" s="122" t="s">
        <v>523</v>
      </c>
      <c r="B236" s="123" t="s">
        <v>1022</v>
      </c>
      <c r="C236" s="123" t="s">
        <v>524</v>
      </c>
      <c r="D236" s="123" t="s">
        <v>503</v>
      </c>
      <c r="E236" s="122" t="s">
        <v>525</v>
      </c>
      <c r="F236" s="130">
        <v>117.15</v>
      </c>
      <c r="G236" s="123" t="s">
        <v>82</v>
      </c>
      <c r="H236" s="130">
        <v>25</v>
      </c>
      <c r="I236" s="139">
        <v>2929</v>
      </c>
      <c r="J236" s="134"/>
    </row>
    <row r="237" spans="1:10" ht="15.75" thickBot="1">
      <c r="A237" s="126" t="s">
        <v>526</v>
      </c>
      <c r="B237" s="127" t="s">
        <v>1021</v>
      </c>
      <c r="C237" s="127" t="s">
        <v>527</v>
      </c>
      <c r="D237" s="127" t="s">
        <v>503</v>
      </c>
      <c r="E237" s="126" t="s">
        <v>528</v>
      </c>
      <c r="F237" s="132">
        <v>117.15</v>
      </c>
      <c r="G237" s="127" t="s">
        <v>82</v>
      </c>
      <c r="H237" s="132">
        <v>25</v>
      </c>
      <c r="I237" s="140">
        <v>2929</v>
      </c>
      <c r="J237" s="135" t="s">
        <v>1019</v>
      </c>
    </row>
    <row r="238" spans="1:10" ht="15.75" thickBot="1">
      <c r="A238" s="118">
        <v>-17</v>
      </c>
      <c r="B238" s="108" t="s">
        <v>1020</v>
      </c>
      <c r="C238" s="108">
        <v>17</v>
      </c>
      <c r="D238" s="108"/>
      <c r="E238" s="118" t="s">
        <v>529</v>
      </c>
      <c r="F238" s="129">
        <v>16</v>
      </c>
      <c r="G238" s="108" t="s">
        <v>213</v>
      </c>
      <c r="H238" s="129">
        <v>350</v>
      </c>
      <c r="I238" s="138">
        <v>5600</v>
      </c>
      <c r="J238" s="110"/>
    </row>
    <row r="239" spans="1:10" s="126" customFormat="1" ht="13.5" thickBot="1">
      <c r="A239" s="122" t="s">
        <v>530</v>
      </c>
      <c r="B239" s="123" t="s">
        <v>1022</v>
      </c>
      <c r="C239" s="123" t="s">
        <v>531</v>
      </c>
      <c r="D239" s="123" t="s">
        <v>529</v>
      </c>
      <c r="E239" s="122" t="s">
        <v>532</v>
      </c>
      <c r="F239" s="130">
        <v>16</v>
      </c>
      <c r="G239" s="123" t="s">
        <v>213</v>
      </c>
      <c r="H239" s="130">
        <v>350</v>
      </c>
      <c r="I239" s="139">
        <v>5600</v>
      </c>
      <c r="J239" s="134"/>
    </row>
    <row r="240" spans="1:10" ht="15.75" thickBot="1">
      <c r="A240" s="126"/>
      <c r="B240" s="127" t="s">
        <v>1021</v>
      </c>
      <c r="C240" s="127"/>
      <c r="D240" s="127" t="s">
        <v>529</v>
      </c>
      <c r="E240" s="126" t="s">
        <v>532</v>
      </c>
      <c r="F240" s="132"/>
      <c r="G240" s="127"/>
      <c r="H240" s="132"/>
      <c r="I240" s="140">
        <v>5600</v>
      </c>
      <c r="J240" s="135" t="s">
        <v>1019</v>
      </c>
    </row>
    <row r="241" spans="1:10" s="126" customFormat="1" ht="13.5" thickBot="1">
      <c r="A241" s="118">
        <v>-18</v>
      </c>
      <c r="B241" s="108" t="s">
        <v>1020</v>
      </c>
      <c r="C241" s="108">
        <v>18</v>
      </c>
      <c r="D241" s="108"/>
      <c r="E241" s="118" t="s">
        <v>533</v>
      </c>
      <c r="F241" s="129">
        <v>311.93</v>
      </c>
      <c r="G241" s="108" t="s">
        <v>82</v>
      </c>
      <c r="H241" s="129">
        <v>46.39</v>
      </c>
      <c r="I241" s="138">
        <v>14469</v>
      </c>
      <c r="J241" s="110"/>
    </row>
    <row r="242" spans="1:10" s="126" customFormat="1" ht="13.5" thickBot="1">
      <c r="A242" s="122" t="s">
        <v>534</v>
      </c>
      <c r="B242" s="123" t="s">
        <v>1022</v>
      </c>
      <c r="C242" s="123" t="s">
        <v>535</v>
      </c>
      <c r="D242" s="123" t="s">
        <v>533</v>
      </c>
      <c r="E242" s="122" t="s">
        <v>536</v>
      </c>
      <c r="F242" s="130">
        <v>90</v>
      </c>
      <c r="G242" s="123" t="s">
        <v>82</v>
      </c>
      <c r="H242" s="130">
        <v>60</v>
      </c>
      <c r="I242" s="139">
        <v>5400</v>
      </c>
      <c r="J242" s="134"/>
    </row>
    <row r="243" spans="1:10" ht="15.75" thickBot="1">
      <c r="A243" s="126" t="s">
        <v>537</v>
      </c>
      <c r="B243" s="127" t="s">
        <v>1021</v>
      </c>
      <c r="C243" s="127" t="s">
        <v>538</v>
      </c>
      <c r="D243" s="127" t="s">
        <v>533</v>
      </c>
      <c r="E243" s="126" t="s">
        <v>539</v>
      </c>
      <c r="F243" s="132">
        <v>108</v>
      </c>
      <c r="G243" s="127" t="s">
        <v>82</v>
      </c>
      <c r="H243" s="132">
        <v>50</v>
      </c>
      <c r="I243" s="140">
        <v>5400</v>
      </c>
      <c r="J243" s="135" t="s">
        <v>1018</v>
      </c>
    </row>
    <row r="244" spans="1:10" s="126" customFormat="1" ht="13.5" thickBot="1">
      <c r="A244" s="122" t="s">
        <v>540</v>
      </c>
      <c r="B244" s="123" t="s">
        <v>1022</v>
      </c>
      <c r="C244" s="123" t="s">
        <v>541</v>
      </c>
      <c r="D244" s="123" t="s">
        <v>533</v>
      </c>
      <c r="E244" s="122" t="s">
        <v>542</v>
      </c>
      <c r="F244" s="130">
        <v>103.98</v>
      </c>
      <c r="G244" s="123" t="s">
        <v>82</v>
      </c>
      <c r="H244" s="130">
        <v>4.0999999999999996</v>
      </c>
      <c r="I244" s="139">
        <v>426</v>
      </c>
      <c r="J244" s="134"/>
    </row>
    <row r="245" spans="1:10">
      <c r="A245" s="126" t="s">
        <v>543</v>
      </c>
      <c r="B245" s="127" t="s">
        <v>1021</v>
      </c>
      <c r="C245" s="127">
        <v>1381</v>
      </c>
      <c r="D245" s="127" t="s">
        <v>533</v>
      </c>
      <c r="E245" s="126" t="s">
        <v>439</v>
      </c>
      <c r="F245" s="132">
        <v>505.32</v>
      </c>
      <c r="G245" s="127" t="s">
        <v>14</v>
      </c>
      <c r="H245" s="132">
        <v>0.51</v>
      </c>
      <c r="I245" s="140">
        <v>258</v>
      </c>
      <c r="J245" s="135" t="s">
        <v>1018</v>
      </c>
    </row>
    <row r="246" spans="1:10" s="126" customFormat="1" ht="12.75">
      <c r="A246" s="126" t="s">
        <v>544</v>
      </c>
      <c r="B246" s="127" t="s">
        <v>1021</v>
      </c>
      <c r="C246" s="127" t="s">
        <v>441</v>
      </c>
      <c r="D246" s="127" t="s">
        <v>533</v>
      </c>
      <c r="E246" s="126" t="s">
        <v>442</v>
      </c>
      <c r="F246" s="132">
        <v>1559.63</v>
      </c>
      <c r="G246" s="127" t="s">
        <v>50</v>
      </c>
      <c r="H246" s="132">
        <v>0.05</v>
      </c>
      <c r="I246" s="140">
        <v>78</v>
      </c>
      <c r="J246" s="135" t="s">
        <v>1018</v>
      </c>
    </row>
    <row r="247" spans="1:10" ht="15.75" thickBot="1">
      <c r="A247" s="126" t="s">
        <v>545</v>
      </c>
      <c r="B247" s="127" t="s">
        <v>1021</v>
      </c>
      <c r="C247" s="127">
        <v>34357</v>
      </c>
      <c r="D247" s="127" t="s">
        <v>533</v>
      </c>
      <c r="E247" s="126" t="s">
        <v>444</v>
      </c>
      <c r="F247" s="132">
        <v>30.15</v>
      </c>
      <c r="G247" s="127" t="s">
        <v>14</v>
      </c>
      <c r="H247" s="132">
        <v>2.99</v>
      </c>
      <c r="I247" s="140">
        <v>90</v>
      </c>
      <c r="J247" s="135" t="s">
        <v>1018</v>
      </c>
    </row>
    <row r="248" spans="1:10" s="126" customFormat="1" ht="13.5" thickBot="1">
      <c r="A248" s="122" t="s">
        <v>546</v>
      </c>
      <c r="B248" s="123" t="s">
        <v>1022</v>
      </c>
      <c r="C248" s="123" t="s">
        <v>547</v>
      </c>
      <c r="D248" s="123" t="s">
        <v>533</v>
      </c>
      <c r="E248" s="122" t="s">
        <v>548</v>
      </c>
      <c r="F248" s="130">
        <v>13.98</v>
      </c>
      <c r="G248" s="123" t="s">
        <v>82</v>
      </c>
      <c r="H248" s="130">
        <v>320.82</v>
      </c>
      <c r="I248" s="139">
        <v>4485</v>
      </c>
      <c r="J248" s="134"/>
    </row>
    <row r="249" spans="1:10" ht="15.75" thickBot="1">
      <c r="A249" s="126" t="s">
        <v>549</v>
      </c>
      <c r="B249" s="127" t="s">
        <v>1021</v>
      </c>
      <c r="C249" s="127">
        <v>25981</v>
      </c>
      <c r="D249" s="127" t="s">
        <v>533</v>
      </c>
      <c r="E249" s="126" t="s">
        <v>430</v>
      </c>
      <c r="F249" s="132">
        <v>15.38</v>
      </c>
      <c r="G249" s="127" t="s">
        <v>82</v>
      </c>
      <c r="H249" s="132">
        <v>291.64999999999998</v>
      </c>
      <c r="I249" s="140">
        <v>4485</v>
      </c>
      <c r="J249" s="135" t="s">
        <v>1018</v>
      </c>
    </row>
    <row r="250" spans="1:10" ht="15.75" thickBot="1">
      <c r="A250" s="122" t="s">
        <v>550</v>
      </c>
      <c r="B250" s="123" t="s">
        <v>1022</v>
      </c>
      <c r="C250" s="123" t="s">
        <v>551</v>
      </c>
      <c r="D250" s="123" t="s">
        <v>533</v>
      </c>
      <c r="E250" s="122" t="s">
        <v>552</v>
      </c>
      <c r="F250" s="130">
        <v>90</v>
      </c>
      <c r="G250" s="123" t="s">
        <v>82</v>
      </c>
      <c r="H250" s="130">
        <v>40</v>
      </c>
      <c r="I250" s="139">
        <v>3600</v>
      </c>
      <c r="J250" s="134"/>
    </row>
    <row r="251" spans="1:10" s="126" customFormat="1" ht="13.5" thickBot="1">
      <c r="A251" s="126" t="s">
        <v>553</v>
      </c>
      <c r="B251" s="127" t="s">
        <v>1021</v>
      </c>
      <c r="C251" s="127" t="s">
        <v>554</v>
      </c>
      <c r="D251" s="127" t="s">
        <v>533</v>
      </c>
      <c r="E251" s="126" t="s">
        <v>555</v>
      </c>
      <c r="F251" s="131">
        <v>90</v>
      </c>
      <c r="G251" s="127" t="s">
        <v>82</v>
      </c>
      <c r="H251" s="132">
        <v>40</v>
      </c>
      <c r="I251" s="132">
        <v>3600</v>
      </c>
      <c r="J251" s="135" t="s">
        <v>1019</v>
      </c>
    </row>
    <row r="252" spans="1:10" ht="15.75" thickBot="1">
      <c r="A252" s="122" t="s">
        <v>556</v>
      </c>
      <c r="B252" s="123" t="s">
        <v>1022</v>
      </c>
      <c r="C252" s="123" t="s">
        <v>557</v>
      </c>
      <c r="D252" s="123" t="s">
        <v>533</v>
      </c>
      <c r="E252" s="122" t="s">
        <v>558</v>
      </c>
      <c r="F252" s="130">
        <v>13.98</v>
      </c>
      <c r="G252" s="123" t="s">
        <v>82</v>
      </c>
      <c r="H252" s="130">
        <v>40</v>
      </c>
      <c r="I252" s="139">
        <v>559</v>
      </c>
      <c r="J252" s="134"/>
    </row>
    <row r="253" spans="1:10" s="126" customFormat="1" ht="13.5" thickBot="1">
      <c r="A253" s="126" t="s">
        <v>559</v>
      </c>
      <c r="B253" s="127" t="s">
        <v>1021</v>
      </c>
      <c r="C253" s="127" t="s">
        <v>560</v>
      </c>
      <c r="D253" s="127" t="s">
        <v>533</v>
      </c>
      <c r="E253" s="126" t="s">
        <v>561</v>
      </c>
      <c r="F253" s="131">
        <v>13.98</v>
      </c>
      <c r="G253" s="127" t="s">
        <v>82</v>
      </c>
      <c r="H253" s="132">
        <v>40</v>
      </c>
      <c r="I253" s="132">
        <v>559</v>
      </c>
      <c r="J253" s="135" t="s">
        <v>1019</v>
      </c>
    </row>
    <row r="254" spans="1:10" ht="15.75" thickBot="1">
      <c r="A254" s="118">
        <v>-19</v>
      </c>
      <c r="B254" s="108" t="s">
        <v>1020</v>
      </c>
      <c r="C254" s="108">
        <v>19</v>
      </c>
      <c r="D254" s="108"/>
      <c r="E254" s="118" t="s">
        <v>562</v>
      </c>
      <c r="F254" s="129">
        <v>2458.25</v>
      </c>
      <c r="G254" s="108" t="s">
        <v>82</v>
      </c>
      <c r="H254" s="129">
        <v>24.08</v>
      </c>
      <c r="I254" s="138">
        <v>59199</v>
      </c>
      <c r="J254" s="110"/>
    </row>
    <row r="255" spans="1:10" s="126" customFormat="1" ht="13.5" thickBot="1">
      <c r="A255" s="122" t="s">
        <v>563</v>
      </c>
      <c r="B255" s="123" t="s">
        <v>1022</v>
      </c>
      <c r="C255" s="123" t="s">
        <v>564</v>
      </c>
      <c r="D255" s="123" t="s">
        <v>562</v>
      </c>
      <c r="E255" s="122" t="s">
        <v>565</v>
      </c>
      <c r="F255" s="130">
        <v>393.32</v>
      </c>
      <c r="G255" s="123" t="s">
        <v>17</v>
      </c>
      <c r="H255" s="130">
        <v>6.09</v>
      </c>
      <c r="I255" s="139">
        <v>2395</v>
      </c>
      <c r="J255" s="134"/>
    </row>
    <row r="256" spans="1:10" ht="15.75" thickBot="1">
      <c r="A256" s="126" t="s">
        <v>566</v>
      </c>
      <c r="B256" s="127" t="s">
        <v>1021</v>
      </c>
      <c r="C256" s="127">
        <v>6085</v>
      </c>
      <c r="D256" s="127" t="s">
        <v>562</v>
      </c>
      <c r="E256" s="126" t="s">
        <v>567</v>
      </c>
      <c r="F256" s="132">
        <v>393.32</v>
      </c>
      <c r="G256" s="127" t="s">
        <v>17</v>
      </c>
      <c r="H256" s="132">
        <v>6.09</v>
      </c>
      <c r="I256" s="140">
        <v>2395</v>
      </c>
      <c r="J256" s="135" t="s">
        <v>1018</v>
      </c>
    </row>
    <row r="257" spans="1:10" s="126" customFormat="1" ht="13.5" thickBot="1">
      <c r="A257" s="122" t="s">
        <v>568</v>
      </c>
      <c r="B257" s="123" t="s">
        <v>1022</v>
      </c>
      <c r="C257" s="123" t="s">
        <v>569</v>
      </c>
      <c r="D257" s="123" t="s">
        <v>562</v>
      </c>
      <c r="E257" s="122" t="s">
        <v>570</v>
      </c>
      <c r="F257" s="130">
        <v>628.48</v>
      </c>
      <c r="G257" s="123" t="s">
        <v>14</v>
      </c>
      <c r="H257" s="130">
        <v>7.86</v>
      </c>
      <c r="I257" s="139">
        <v>4940</v>
      </c>
      <c r="J257" s="134"/>
    </row>
    <row r="258" spans="1:10" ht="15.75" thickBot="1">
      <c r="A258" s="126" t="s">
        <v>571</v>
      </c>
      <c r="B258" s="127" t="s">
        <v>1021</v>
      </c>
      <c r="C258" s="127">
        <v>38877</v>
      </c>
      <c r="D258" s="127" t="s">
        <v>562</v>
      </c>
      <c r="E258" s="126" t="s">
        <v>572</v>
      </c>
      <c r="F258" s="132">
        <v>628.48</v>
      </c>
      <c r="G258" s="127" t="s">
        <v>14</v>
      </c>
      <c r="H258" s="132">
        <v>7.86</v>
      </c>
      <c r="I258" s="140">
        <v>4940</v>
      </c>
      <c r="J258" s="135" t="s">
        <v>1018</v>
      </c>
    </row>
    <row r="259" spans="1:10" s="126" customFormat="1" ht="13.5" thickBot="1">
      <c r="A259" s="122" t="s">
        <v>573</v>
      </c>
      <c r="B259" s="123" t="s">
        <v>1022</v>
      </c>
      <c r="C259" s="123" t="s">
        <v>574</v>
      </c>
      <c r="D259" s="123" t="s">
        <v>562</v>
      </c>
      <c r="E259" s="122" t="s">
        <v>575</v>
      </c>
      <c r="F259" s="130">
        <v>811.22</v>
      </c>
      <c r="G259" s="123" t="s">
        <v>17</v>
      </c>
      <c r="H259" s="130">
        <v>25.53</v>
      </c>
      <c r="I259" s="139">
        <v>20711</v>
      </c>
      <c r="J259" s="134"/>
    </row>
    <row r="260" spans="1:10" ht="15.75" thickBot="1">
      <c r="A260" s="126" t="s">
        <v>576</v>
      </c>
      <c r="B260" s="127" t="s">
        <v>1021</v>
      </c>
      <c r="C260" s="127">
        <v>7356</v>
      </c>
      <c r="D260" s="127" t="s">
        <v>562</v>
      </c>
      <c r="E260" s="126" t="s">
        <v>16</v>
      </c>
      <c r="F260" s="132">
        <v>811.22</v>
      </c>
      <c r="G260" s="127" t="s">
        <v>17</v>
      </c>
      <c r="H260" s="132">
        <v>25.53</v>
      </c>
      <c r="I260" s="140">
        <v>20711</v>
      </c>
      <c r="J260" s="135" t="s">
        <v>1018</v>
      </c>
    </row>
    <row r="261" spans="1:10" ht="15.75" thickBot="1">
      <c r="A261" s="122" t="s">
        <v>577</v>
      </c>
      <c r="B261" s="123" t="s">
        <v>1022</v>
      </c>
      <c r="C261" s="123" t="s">
        <v>578</v>
      </c>
      <c r="D261" s="123" t="s">
        <v>562</v>
      </c>
      <c r="E261" s="122" t="s">
        <v>579</v>
      </c>
      <c r="F261" s="130">
        <v>551.29999999999995</v>
      </c>
      <c r="G261" s="123" t="s">
        <v>82</v>
      </c>
      <c r="H261" s="130">
        <v>15</v>
      </c>
      <c r="I261" s="139">
        <v>8269</v>
      </c>
      <c r="J261" s="134"/>
    </row>
    <row r="262" spans="1:10" s="126" customFormat="1" ht="13.5" thickBot="1">
      <c r="A262" s="126" t="s">
        <v>580</v>
      </c>
      <c r="B262" s="127" t="s">
        <v>1021</v>
      </c>
      <c r="C262" s="127" t="s">
        <v>581</v>
      </c>
      <c r="D262" s="127" t="s">
        <v>562</v>
      </c>
      <c r="E262" s="126" t="s">
        <v>582</v>
      </c>
      <c r="F262" s="132">
        <v>551.29999999999995</v>
      </c>
      <c r="G262" s="127" t="s">
        <v>82</v>
      </c>
      <c r="H262" s="132">
        <v>15</v>
      </c>
      <c r="I262" s="140">
        <v>8269</v>
      </c>
      <c r="J262" s="135" t="s">
        <v>1019</v>
      </c>
    </row>
    <row r="263" spans="1:10" s="126" customFormat="1" ht="13.5" thickBot="1">
      <c r="A263" s="122" t="s">
        <v>583</v>
      </c>
      <c r="B263" s="123" t="s">
        <v>1022</v>
      </c>
      <c r="C263" s="123" t="s">
        <v>584</v>
      </c>
      <c r="D263" s="123" t="s">
        <v>562</v>
      </c>
      <c r="E263" s="122" t="s">
        <v>585</v>
      </c>
      <c r="F263" s="130">
        <v>1906.96</v>
      </c>
      <c r="G263" s="123" t="s">
        <v>82</v>
      </c>
      <c r="H263" s="130">
        <v>12</v>
      </c>
      <c r="I263" s="139">
        <v>22883</v>
      </c>
      <c r="J263" s="134"/>
    </row>
    <row r="264" spans="1:10" ht="15.75" thickBot="1">
      <c r="A264" s="126" t="s">
        <v>586</v>
      </c>
      <c r="B264" s="127" t="s">
        <v>1021</v>
      </c>
      <c r="C264" s="127" t="s">
        <v>587</v>
      </c>
      <c r="D264" s="127" t="s">
        <v>562</v>
      </c>
      <c r="E264" s="126" t="s">
        <v>588</v>
      </c>
      <c r="F264" s="132">
        <v>1906.96</v>
      </c>
      <c r="G264" s="127" t="s">
        <v>82</v>
      </c>
      <c r="H264" s="132">
        <v>12</v>
      </c>
      <c r="I264" s="140">
        <v>22883</v>
      </c>
      <c r="J264" s="135" t="s">
        <v>1019</v>
      </c>
    </row>
    <row r="265" spans="1:10" ht="15.75" thickBot="1">
      <c r="A265" s="118">
        <v>-20</v>
      </c>
      <c r="B265" s="108" t="s">
        <v>1020</v>
      </c>
      <c r="C265" s="108">
        <v>20</v>
      </c>
      <c r="D265" s="108"/>
      <c r="E265" s="118" t="s">
        <v>589</v>
      </c>
      <c r="F265" s="129">
        <v>16.7</v>
      </c>
      <c r="G265" s="108" t="s">
        <v>5</v>
      </c>
      <c r="H265" s="129">
        <v>492</v>
      </c>
      <c r="I265" s="138">
        <v>8216</v>
      </c>
      <c r="J265" s="110"/>
    </row>
    <row r="266" spans="1:10" s="126" customFormat="1" ht="13.5" thickBot="1">
      <c r="A266" s="122" t="s">
        <v>590</v>
      </c>
      <c r="B266" s="123" t="s">
        <v>1022</v>
      </c>
      <c r="C266" s="123" t="s">
        <v>591</v>
      </c>
      <c r="D266" s="123" t="s">
        <v>589</v>
      </c>
      <c r="E266" s="122" t="s">
        <v>592</v>
      </c>
      <c r="F266" s="130">
        <v>16.7</v>
      </c>
      <c r="G266" s="123" t="s">
        <v>5</v>
      </c>
      <c r="H266" s="130">
        <v>492</v>
      </c>
      <c r="I266" s="139">
        <v>8216</v>
      </c>
      <c r="J266" s="134"/>
    </row>
    <row r="267" spans="1:10" s="126" customFormat="1" ht="12.75">
      <c r="A267" s="126" t="s">
        <v>593</v>
      </c>
      <c r="B267" s="127" t="s">
        <v>1021</v>
      </c>
      <c r="C267" s="127" t="s">
        <v>594</v>
      </c>
      <c r="D267" s="127" t="s">
        <v>589</v>
      </c>
      <c r="E267" s="126" t="s">
        <v>595</v>
      </c>
      <c r="F267" s="132">
        <v>16.7</v>
      </c>
      <c r="G267" s="127" t="s">
        <v>5</v>
      </c>
      <c r="H267" s="132">
        <v>492</v>
      </c>
      <c r="I267" s="140">
        <v>8216</v>
      </c>
      <c r="J267" s="135" t="s">
        <v>1018</v>
      </c>
    </row>
    <row r="268" spans="1:10" s="126" customFormat="1" ht="13.5" thickBot="1">
      <c r="A268" s="126" t="s">
        <v>596</v>
      </c>
      <c r="B268" s="127" t="s">
        <v>1021</v>
      </c>
      <c r="C268" s="127" t="s">
        <v>597</v>
      </c>
      <c r="D268" s="127" t="s">
        <v>589</v>
      </c>
      <c r="E268" s="126" t="s">
        <v>598</v>
      </c>
      <c r="F268" s="132">
        <v>0</v>
      </c>
      <c r="G268" s="127" t="s">
        <v>5</v>
      </c>
      <c r="H268" s="132">
        <v>78.12</v>
      </c>
      <c r="I268" s="140">
        <v>0</v>
      </c>
      <c r="J268" s="135" t="s">
        <v>1019</v>
      </c>
    </row>
    <row r="269" spans="1:10" s="126" customFormat="1" ht="13.5" thickBot="1">
      <c r="A269" s="118">
        <v>-21</v>
      </c>
      <c r="B269" s="108" t="s">
        <v>1020</v>
      </c>
      <c r="C269" s="108">
        <v>21</v>
      </c>
      <c r="D269" s="108"/>
      <c r="E269" s="118" t="s">
        <v>599</v>
      </c>
      <c r="F269" s="129">
        <v>128</v>
      </c>
      <c r="G269" s="108" t="s">
        <v>30</v>
      </c>
      <c r="H269" s="129">
        <v>163.63</v>
      </c>
      <c r="I269" s="138">
        <v>20944</v>
      </c>
      <c r="J269" s="110"/>
    </row>
    <row r="270" spans="1:10" s="126" customFormat="1" ht="13.5" thickBot="1">
      <c r="A270" s="122" t="s">
        <v>600</v>
      </c>
      <c r="B270" s="123" t="s">
        <v>1022</v>
      </c>
      <c r="C270" s="123" t="s">
        <v>601</v>
      </c>
      <c r="D270" s="123" t="s">
        <v>599</v>
      </c>
      <c r="E270" s="122" t="s">
        <v>602</v>
      </c>
      <c r="F270" s="130">
        <v>64</v>
      </c>
      <c r="G270" s="123" t="s">
        <v>30</v>
      </c>
      <c r="H270" s="130">
        <v>277.25</v>
      </c>
      <c r="I270" s="139">
        <v>17744</v>
      </c>
      <c r="J270" s="134"/>
    </row>
    <row r="271" spans="1:10" s="126" customFormat="1" ht="12.75">
      <c r="A271" s="126" t="s">
        <v>603</v>
      </c>
      <c r="B271" s="127" t="s">
        <v>1021</v>
      </c>
      <c r="C271" s="127">
        <v>10420</v>
      </c>
      <c r="D271" s="127" t="s">
        <v>599</v>
      </c>
      <c r="E271" s="126" t="s">
        <v>604</v>
      </c>
      <c r="F271" s="132">
        <v>16</v>
      </c>
      <c r="G271" s="127" t="s">
        <v>50</v>
      </c>
      <c r="H271" s="132">
        <v>149.9</v>
      </c>
      <c r="I271" s="140">
        <v>2398</v>
      </c>
      <c r="J271" s="135" t="s">
        <v>1018</v>
      </c>
    </row>
    <row r="272" spans="1:10" s="126" customFormat="1" ht="12.75">
      <c r="A272" s="126" t="s">
        <v>605</v>
      </c>
      <c r="B272" s="127" t="s">
        <v>1021</v>
      </c>
      <c r="C272" s="127">
        <v>20271</v>
      </c>
      <c r="D272" s="127" t="s">
        <v>599</v>
      </c>
      <c r="E272" s="126" t="s">
        <v>606</v>
      </c>
      <c r="F272" s="132">
        <v>16</v>
      </c>
      <c r="G272" s="127" t="s">
        <v>50</v>
      </c>
      <c r="H272" s="132">
        <v>391</v>
      </c>
      <c r="I272" s="140">
        <v>6256</v>
      </c>
      <c r="J272" s="135" t="s">
        <v>1018</v>
      </c>
    </row>
    <row r="273" spans="1:10" s="126" customFormat="1" ht="12.75">
      <c r="A273" s="126" t="s">
        <v>607</v>
      </c>
      <c r="B273" s="127" t="s">
        <v>1021</v>
      </c>
      <c r="C273" s="127">
        <v>36794</v>
      </c>
      <c r="D273" s="127" t="s">
        <v>599</v>
      </c>
      <c r="E273" s="126" t="s">
        <v>608</v>
      </c>
      <c r="F273" s="132">
        <v>16</v>
      </c>
      <c r="G273" s="127" t="s">
        <v>50</v>
      </c>
      <c r="H273" s="132">
        <v>119.46</v>
      </c>
      <c r="I273" s="140">
        <v>1911</v>
      </c>
      <c r="J273" s="135" t="s">
        <v>1018</v>
      </c>
    </row>
    <row r="274" spans="1:10" s="126" customFormat="1" ht="12.75">
      <c r="A274" s="126" t="s">
        <v>609</v>
      </c>
      <c r="B274" s="127" t="s">
        <v>1021</v>
      </c>
      <c r="C274" s="127">
        <v>37329</v>
      </c>
      <c r="D274" s="127" t="s">
        <v>599</v>
      </c>
      <c r="E274" s="126" t="s">
        <v>610</v>
      </c>
      <c r="F274" s="132">
        <v>5.64</v>
      </c>
      <c r="G274" s="127" t="s">
        <v>14</v>
      </c>
      <c r="H274" s="132">
        <v>63.07</v>
      </c>
      <c r="I274" s="140">
        <v>356</v>
      </c>
      <c r="J274" s="135" t="s">
        <v>1018</v>
      </c>
    </row>
    <row r="275" spans="1:10" s="126" customFormat="1" ht="12.75">
      <c r="A275" s="126" t="s">
        <v>611</v>
      </c>
      <c r="B275" s="127" t="s">
        <v>1021</v>
      </c>
      <c r="C275" s="127">
        <v>4351</v>
      </c>
      <c r="D275" s="127" t="s">
        <v>599</v>
      </c>
      <c r="E275" s="126" t="s">
        <v>612</v>
      </c>
      <c r="F275" s="132">
        <v>192</v>
      </c>
      <c r="G275" s="127" t="s">
        <v>50</v>
      </c>
      <c r="H275" s="132">
        <v>11.01</v>
      </c>
      <c r="I275" s="140">
        <v>2114</v>
      </c>
      <c r="J275" s="135" t="s">
        <v>1018</v>
      </c>
    </row>
    <row r="276" spans="1:10" s="126" customFormat="1" ht="12.75">
      <c r="A276" s="126" t="s">
        <v>613</v>
      </c>
      <c r="B276" s="127" t="s">
        <v>1021</v>
      </c>
      <c r="C276" s="127">
        <v>4384</v>
      </c>
      <c r="D276" s="127" t="s">
        <v>599</v>
      </c>
      <c r="E276" s="126" t="s">
        <v>614</v>
      </c>
      <c r="F276" s="132">
        <v>32</v>
      </c>
      <c r="G276" s="127" t="s">
        <v>50</v>
      </c>
      <c r="H276" s="132">
        <v>14.85</v>
      </c>
      <c r="I276" s="140">
        <v>475</v>
      </c>
      <c r="J276" s="135" t="s">
        <v>1018</v>
      </c>
    </row>
    <row r="277" spans="1:10" s="126" customFormat="1" ht="12.75">
      <c r="A277" s="126" t="s">
        <v>615</v>
      </c>
      <c r="B277" s="127" t="s">
        <v>1021</v>
      </c>
      <c r="C277" s="127">
        <v>6138</v>
      </c>
      <c r="D277" s="127" t="s">
        <v>599</v>
      </c>
      <c r="E277" s="126" t="s">
        <v>616</v>
      </c>
      <c r="F277" s="132">
        <v>16</v>
      </c>
      <c r="G277" s="127" t="s">
        <v>50</v>
      </c>
      <c r="H277" s="132">
        <v>3.01</v>
      </c>
      <c r="I277" s="140">
        <v>48</v>
      </c>
      <c r="J277" s="135" t="s">
        <v>1018</v>
      </c>
    </row>
    <row r="278" spans="1:10">
      <c r="A278" s="126" t="s">
        <v>617</v>
      </c>
      <c r="B278" s="127" t="s">
        <v>1021</v>
      </c>
      <c r="C278" s="127">
        <v>6141</v>
      </c>
      <c r="D278" s="127" t="s">
        <v>599</v>
      </c>
      <c r="E278" s="126" t="s">
        <v>618</v>
      </c>
      <c r="F278" s="132">
        <v>16</v>
      </c>
      <c r="G278" s="127" t="s">
        <v>50</v>
      </c>
      <c r="H278" s="132">
        <v>5.15</v>
      </c>
      <c r="I278" s="140">
        <v>82</v>
      </c>
      <c r="J278" s="135" t="s">
        <v>1018</v>
      </c>
    </row>
    <row r="279" spans="1:10" s="126" customFormat="1" ht="12.75">
      <c r="A279" s="126" t="s">
        <v>619</v>
      </c>
      <c r="B279" s="127" t="s">
        <v>1021</v>
      </c>
      <c r="C279" s="127">
        <v>6142</v>
      </c>
      <c r="D279" s="127" t="s">
        <v>599</v>
      </c>
      <c r="E279" s="126" t="s">
        <v>620</v>
      </c>
      <c r="F279" s="132">
        <v>16</v>
      </c>
      <c r="G279" s="127" t="s">
        <v>50</v>
      </c>
      <c r="H279" s="132">
        <v>9.73</v>
      </c>
      <c r="I279" s="140">
        <v>156</v>
      </c>
      <c r="J279" s="135" t="s">
        <v>1018</v>
      </c>
    </row>
    <row r="280" spans="1:10">
      <c r="A280" s="126" t="s">
        <v>621</v>
      </c>
      <c r="B280" s="127" t="s">
        <v>1021</v>
      </c>
      <c r="C280" s="127">
        <v>6148</v>
      </c>
      <c r="D280" s="127" t="s">
        <v>599</v>
      </c>
      <c r="E280" s="126" t="s">
        <v>622</v>
      </c>
      <c r="F280" s="132">
        <v>48</v>
      </c>
      <c r="G280" s="127" t="s">
        <v>50</v>
      </c>
      <c r="H280" s="132">
        <v>11.44</v>
      </c>
      <c r="I280" s="140">
        <v>549</v>
      </c>
      <c r="J280" s="135" t="s">
        <v>1018</v>
      </c>
    </row>
    <row r="281" spans="1:10">
      <c r="A281" s="126" t="s">
        <v>623</v>
      </c>
      <c r="B281" s="127" t="s">
        <v>1021</v>
      </c>
      <c r="C281" s="127">
        <v>6153</v>
      </c>
      <c r="D281" s="127" t="s">
        <v>599</v>
      </c>
      <c r="E281" s="126" t="s">
        <v>624</v>
      </c>
      <c r="F281" s="132">
        <v>48</v>
      </c>
      <c r="G281" s="127" t="s">
        <v>50</v>
      </c>
      <c r="H281" s="132">
        <v>4.13</v>
      </c>
      <c r="I281" s="140">
        <v>198</v>
      </c>
      <c r="J281" s="135" t="s">
        <v>1018</v>
      </c>
    </row>
    <row r="282" spans="1:10" s="126" customFormat="1" ht="13.5" thickBot="1">
      <c r="A282" s="126" t="s">
        <v>625</v>
      </c>
      <c r="B282" s="127" t="s">
        <v>1021</v>
      </c>
      <c r="C282" s="127" t="s">
        <v>626</v>
      </c>
      <c r="D282" s="127" t="s">
        <v>599</v>
      </c>
      <c r="E282" s="126" t="s">
        <v>627</v>
      </c>
      <c r="F282" s="132">
        <v>16</v>
      </c>
      <c r="G282" s="127" t="s">
        <v>50</v>
      </c>
      <c r="H282" s="132">
        <v>200</v>
      </c>
      <c r="I282" s="140">
        <v>3200</v>
      </c>
      <c r="J282" s="135" t="s">
        <v>1018</v>
      </c>
    </row>
    <row r="283" spans="1:10" ht="15.75" thickBot="1">
      <c r="A283" s="122" t="s">
        <v>628</v>
      </c>
      <c r="B283" s="123" t="s">
        <v>1022</v>
      </c>
      <c r="C283" s="123" t="s">
        <v>629</v>
      </c>
      <c r="D283" s="123" t="s">
        <v>599</v>
      </c>
      <c r="E283" s="122" t="s">
        <v>630</v>
      </c>
      <c r="F283" s="130">
        <v>64</v>
      </c>
      <c r="G283" s="123" t="s">
        <v>30</v>
      </c>
      <c r="H283" s="130">
        <v>50</v>
      </c>
      <c r="I283" s="139">
        <v>3200</v>
      </c>
      <c r="J283" s="134"/>
    </row>
    <row r="284" spans="1:10" s="126" customFormat="1" ht="13.5" thickBot="1">
      <c r="A284" s="126" t="s">
        <v>631</v>
      </c>
      <c r="B284" s="127" t="s">
        <v>1021</v>
      </c>
      <c r="C284" s="127" t="s">
        <v>632</v>
      </c>
      <c r="D284" s="127" t="s">
        <v>599</v>
      </c>
      <c r="E284" s="126" t="s">
        <v>633</v>
      </c>
      <c r="F284" s="132">
        <v>64</v>
      </c>
      <c r="G284" s="127" t="s">
        <v>50</v>
      </c>
      <c r="H284" s="132">
        <v>50</v>
      </c>
      <c r="I284" s="140">
        <v>3200</v>
      </c>
      <c r="J284" s="135" t="s">
        <v>1019</v>
      </c>
    </row>
    <row r="285" spans="1:10" ht="15.75" thickBot="1">
      <c r="A285" s="118">
        <v>-22</v>
      </c>
      <c r="B285" s="108" t="s">
        <v>1020</v>
      </c>
      <c r="C285" s="108">
        <v>22</v>
      </c>
      <c r="D285" s="108"/>
      <c r="E285" s="118" t="s">
        <v>634</v>
      </c>
      <c r="F285" s="129">
        <v>647.01</v>
      </c>
      <c r="G285" s="108" t="s">
        <v>82</v>
      </c>
      <c r="H285" s="129">
        <v>81.430000000000007</v>
      </c>
      <c r="I285" s="138">
        <v>52685</v>
      </c>
      <c r="J285" s="110"/>
    </row>
    <row r="286" spans="1:10" s="126" customFormat="1" ht="13.5" thickBot="1">
      <c r="A286" s="122" t="s">
        <v>635</v>
      </c>
      <c r="B286" s="123" t="s">
        <v>1022</v>
      </c>
      <c r="C286" s="123" t="s">
        <v>636</v>
      </c>
      <c r="D286" s="123" t="s">
        <v>634</v>
      </c>
      <c r="E286" s="122" t="s">
        <v>637</v>
      </c>
      <c r="F286" s="130">
        <v>323.5</v>
      </c>
      <c r="G286" s="123" t="s">
        <v>82</v>
      </c>
      <c r="H286" s="130">
        <v>84.21</v>
      </c>
      <c r="I286" s="139">
        <v>27242</v>
      </c>
      <c r="J286" s="134">
        <v>0</v>
      </c>
    </row>
    <row r="287" spans="1:10" ht="15.75" thickBot="1">
      <c r="A287" s="126" t="s">
        <v>638</v>
      </c>
      <c r="B287" s="127" t="s">
        <v>1021</v>
      </c>
      <c r="C287" s="127">
        <v>4790</v>
      </c>
      <c r="D287" s="127" t="s">
        <v>634</v>
      </c>
      <c r="E287" s="126" t="s">
        <v>639</v>
      </c>
      <c r="F287" s="131">
        <v>339.68</v>
      </c>
      <c r="G287" s="127" t="s">
        <v>82</v>
      </c>
      <c r="H287" s="132">
        <v>80.2</v>
      </c>
      <c r="I287" s="132">
        <v>27242</v>
      </c>
      <c r="J287" s="135" t="s">
        <v>1018</v>
      </c>
    </row>
    <row r="288" spans="1:10" s="126" customFormat="1" ht="13.5" thickBot="1">
      <c r="A288" s="122" t="s">
        <v>640</v>
      </c>
      <c r="B288" s="123" t="s">
        <v>1022</v>
      </c>
      <c r="C288" s="123" t="s">
        <v>641</v>
      </c>
      <c r="D288" s="123" t="s">
        <v>634</v>
      </c>
      <c r="E288" s="122" t="s">
        <v>642</v>
      </c>
      <c r="F288" s="130">
        <v>400.93</v>
      </c>
      <c r="G288" s="123" t="s">
        <v>5</v>
      </c>
      <c r="H288" s="130">
        <v>20.440000000000001</v>
      </c>
      <c r="I288" s="139">
        <v>8196</v>
      </c>
      <c r="J288" s="134"/>
    </row>
    <row r="289" spans="1:10" ht="15.75" thickBot="1">
      <c r="A289" s="126" t="s">
        <v>643</v>
      </c>
      <c r="B289" s="127" t="s">
        <v>1021</v>
      </c>
      <c r="C289" s="127">
        <v>4804</v>
      </c>
      <c r="D289" s="127" t="s">
        <v>634</v>
      </c>
      <c r="E289" s="126" t="s">
        <v>644</v>
      </c>
      <c r="F289" s="131">
        <v>420.97</v>
      </c>
      <c r="G289" s="127" t="s">
        <v>5</v>
      </c>
      <c r="H289" s="132">
        <v>19.47</v>
      </c>
      <c r="I289" s="132">
        <v>8196</v>
      </c>
      <c r="J289" s="135" t="s">
        <v>1018</v>
      </c>
    </row>
    <row r="290" spans="1:10" s="126" customFormat="1" ht="13.5" thickBot="1">
      <c r="A290" s="122" t="s">
        <v>645</v>
      </c>
      <c r="B290" s="123" t="s">
        <v>1022</v>
      </c>
      <c r="C290" s="123" t="s">
        <v>646</v>
      </c>
      <c r="D290" s="123" t="s">
        <v>634</v>
      </c>
      <c r="E290" s="122" t="s">
        <v>647</v>
      </c>
      <c r="F290" s="130">
        <v>467.05</v>
      </c>
      <c r="G290" s="123" t="s">
        <v>14</v>
      </c>
      <c r="H290" s="130">
        <v>19.61</v>
      </c>
      <c r="I290" s="139">
        <v>9159</v>
      </c>
      <c r="J290" s="134"/>
    </row>
    <row r="291" spans="1:10" ht="15.75" thickBot="1">
      <c r="A291" s="126" t="s">
        <v>648</v>
      </c>
      <c r="B291" s="127" t="s">
        <v>1021</v>
      </c>
      <c r="C291" s="127">
        <v>4791</v>
      </c>
      <c r="D291" s="127" t="s">
        <v>634</v>
      </c>
      <c r="E291" s="126" t="s">
        <v>649</v>
      </c>
      <c r="F291" s="131">
        <v>467.05</v>
      </c>
      <c r="G291" s="127" t="s">
        <v>14</v>
      </c>
      <c r="H291" s="132">
        <v>19.61</v>
      </c>
      <c r="I291" s="132">
        <v>9159</v>
      </c>
      <c r="J291" s="135" t="s">
        <v>1018</v>
      </c>
    </row>
    <row r="292" spans="1:10" ht="15.75" thickBot="1">
      <c r="A292" s="122" t="s">
        <v>650</v>
      </c>
      <c r="B292" s="123" t="s">
        <v>1022</v>
      </c>
      <c r="C292" s="123" t="s">
        <v>651</v>
      </c>
      <c r="D292" s="123" t="s">
        <v>634</v>
      </c>
      <c r="E292" s="122" t="s">
        <v>652</v>
      </c>
      <c r="F292" s="130">
        <v>0</v>
      </c>
      <c r="G292" s="123" t="s">
        <v>5</v>
      </c>
      <c r="H292" s="130">
        <v>0</v>
      </c>
      <c r="I292" s="139">
        <v>0</v>
      </c>
      <c r="J292" s="134"/>
    </row>
    <row r="293" spans="1:10" s="126" customFormat="1" ht="13.5" thickBot="1">
      <c r="A293" s="126" t="s">
        <v>653</v>
      </c>
      <c r="B293" s="127" t="s">
        <v>1021</v>
      </c>
      <c r="C293" s="127" t="s">
        <v>654</v>
      </c>
      <c r="D293" s="127" t="s">
        <v>634</v>
      </c>
      <c r="E293" s="126" t="s">
        <v>655</v>
      </c>
      <c r="F293" s="131">
        <v>0</v>
      </c>
      <c r="G293" s="127" t="s">
        <v>5</v>
      </c>
      <c r="H293" s="132">
        <v>12.5</v>
      </c>
      <c r="I293" s="132">
        <v>0</v>
      </c>
      <c r="J293" s="135" t="s">
        <v>1019</v>
      </c>
    </row>
    <row r="294" spans="1:10" s="126" customFormat="1" ht="13.5" thickBot="1">
      <c r="A294" s="122" t="s">
        <v>656</v>
      </c>
      <c r="B294" s="123" t="s">
        <v>1022</v>
      </c>
      <c r="C294" s="123" t="s">
        <v>657</v>
      </c>
      <c r="D294" s="123" t="s">
        <v>634</v>
      </c>
      <c r="E294" s="122" t="s">
        <v>658</v>
      </c>
      <c r="F294" s="130">
        <v>323.5</v>
      </c>
      <c r="G294" s="123" t="s">
        <v>82</v>
      </c>
      <c r="H294" s="130">
        <v>25</v>
      </c>
      <c r="I294" s="139">
        <v>8088</v>
      </c>
      <c r="J294" s="134"/>
    </row>
    <row r="295" spans="1:10" s="126" customFormat="1" ht="13.5" thickBot="1">
      <c r="A295" s="126" t="s">
        <v>659</v>
      </c>
      <c r="B295" s="127" t="s">
        <v>1021</v>
      </c>
      <c r="C295" s="127" t="s">
        <v>660</v>
      </c>
      <c r="D295" s="127" t="s">
        <v>634</v>
      </c>
      <c r="E295" s="126" t="s">
        <v>661</v>
      </c>
      <c r="F295" s="131">
        <v>323.5</v>
      </c>
      <c r="G295" s="127" t="s">
        <v>82</v>
      </c>
      <c r="H295" s="132">
        <v>25</v>
      </c>
      <c r="I295" s="132">
        <v>8088</v>
      </c>
      <c r="J295" s="135" t="s">
        <v>1019</v>
      </c>
    </row>
    <row r="296" spans="1:10" s="126" customFormat="1" ht="13.5" thickBot="1">
      <c r="A296" s="118">
        <v>-23</v>
      </c>
      <c r="B296" s="108" t="s">
        <v>1020</v>
      </c>
      <c r="C296" s="108">
        <v>23</v>
      </c>
      <c r="D296" s="108"/>
      <c r="E296" s="118" t="s">
        <v>662</v>
      </c>
      <c r="F296" s="129">
        <v>80</v>
      </c>
      <c r="G296" s="108" t="s">
        <v>50</v>
      </c>
      <c r="H296" s="129">
        <v>520</v>
      </c>
      <c r="I296" s="138">
        <v>41600</v>
      </c>
      <c r="J296" s="110"/>
    </row>
    <row r="297" spans="1:10" ht="15.75" thickBot="1">
      <c r="A297" s="122" t="s">
        <v>676</v>
      </c>
      <c r="B297" s="123" t="s">
        <v>1022</v>
      </c>
      <c r="C297" s="123" t="s">
        <v>664</v>
      </c>
      <c r="D297" s="123" t="s">
        <v>662</v>
      </c>
      <c r="E297" s="122" t="s">
        <v>665</v>
      </c>
      <c r="F297" s="130">
        <v>80</v>
      </c>
      <c r="G297" s="123" t="s">
        <v>50</v>
      </c>
      <c r="H297" s="130">
        <v>520</v>
      </c>
      <c r="I297" s="139">
        <v>41600</v>
      </c>
      <c r="J297" s="134"/>
    </row>
    <row r="298" spans="1:10">
      <c r="A298" s="126" t="s">
        <v>679</v>
      </c>
      <c r="B298" s="127" t="s">
        <v>1021</v>
      </c>
      <c r="C298" s="127" t="s">
        <v>667</v>
      </c>
      <c r="D298" s="127" t="s">
        <v>662</v>
      </c>
      <c r="E298" s="126" t="s">
        <v>668</v>
      </c>
      <c r="F298" s="132">
        <v>16</v>
      </c>
      <c r="G298" s="127" t="s">
        <v>50</v>
      </c>
      <c r="H298" s="132">
        <v>500</v>
      </c>
      <c r="I298" s="140">
        <v>8000</v>
      </c>
      <c r="J298" s="135" t="s">
        <v>1018</v>
      </c>
    </row>
    <row r="299" spans="1:10" s="126" customFormat="1" ht="12.75">
      <c r="A299" s="126" t="s">
        <v>681</v>
      </c>
      <c r="B299" s="127" t="s">
        <v>1021</v>
      </c>
      <c r="C299" s="127" t="s">
        <v>669</v>
      </c>
      <c r="D299" s="127" t="s">
        <v>662</v>
      </c>
      <c r="E299" s="126" t="s">
        <v>670</v>
      </c>
      <c r="F299" s="132">
        <v>48</v>
      </c>
      <c r="G299" s="127" t="s">
        <v>50</v>
      </c>
      <c r="H299" s="132">
        <v>450</v>
      </c>
      <c r="I299" s="140">
        <v>21600</v>
      </c>
      <c r="J299" s="135" t="s">
        <v>1018</v>
      </c>
    </row>
    <row r="300" spans="1:10" s="126" customFormat="1" ht="12.75">
      <c r="A300" s="126" t="s">
        <v>798</v>
      </c>
      <c r="B300" s="127" t="s">
        <v>1021</v>
      </c>
      <c r="C300" s="127" t="s">
        <v>671</v>
      </c>
      <c r="D300" s="127" t="s">
        <v>662</v>
      </c>
      <c r="E300" s="126" t="s">
        <v>672</v>
      </c>
      <c r="F300" s="132">
        <v>16</v>
      </c>
      <c r="G300" s="127" t="s">
        <v>50</v>
      </c>
      <c r="H300" s="132">
        <v>350</v>
      </c>
      <c r="I300" s="140">
        <v>5600</v>
      </c>
      <c r="J300" s="135" t="s">
        <v>1018</v>
      </c>
    </row>
    <row r="301" spans="1:10" ht="15.75" thickBot="1">
      <c r="A301" s="126" t="s">
        <v>799</v>
      </c>
      <c r="B301" s="127" t="s">
        <v>1021</v>
      </c>
      <c r="C301" s="127" t="s">
        <v>673</v>
      </c>
      <c r="D301" s="127" t="s">
        <v>662</v>
      </c>
      <c r="E301" s="126" t="s">
        <v>674</v>
      </c>
      <c r="F301" s="132">
        <v>80</v>
      </c>
      <c r="G301" s="127" t="s">
        <v>50</v>
      </c>
      <c r="H301" s="132">
        <v>80</v>
      </c>
      <c r="I301" s="140">
        <v>6400</v>
      </c>
      <c r="J301" s="135" t="s">
        <v>1019</v>
      </c>
    </row>
    <row r="302" spans="1:10" s="126" customFormat="1" ht="13.5" thickBot="1">
      <c r="A302" s="118">
        <v>-24</v>
      </c>
      <c r="B302" s="108" t="s">
        <v>1020</v>
      </c>
      <c r="C302" s="108">
        <v>24</v>
      </c>
      <c r="D302" s="108"/>
      <c r="E302" s="118" t="s">
        <v>675</v>
      </c>
      <c r="F302" s="129">
        <v>96</v>
      </c>
      <c r="G302" s="108" t="s">
        <v>30</v>
      </c>
      <c r="H302" s="129">
        <v>55.84</v>
      </c>
      <c r="I302" s="138">
        <v>5360</v>
      </c>
      <c r="J302" s="110"/>
    </row>
    <row r="303" spans="1:10" ht="15.75" thickBot="1">
      <c r="A303" s="122" t="s">
        <v>688</v>
      </c>
      <c r="B303" s="123" t="s">
        <v>1022</v>
      </c>
      <c r="C303" s="123" t="s">
        <v>677</v>
      </c>
      <c r="D303" s="123" t="s">
        <v>675</v>
      </c>
      <c r="E303" s="122" t="s">
        <v>678</v>
      </c>
      <c r="F303" s="130">
        <v>48</v>
      </c>
      <c r="G303" s="123" t="s">
        <v>30</v>
      </c>
      <c r="H303" s="130">
        <v>61.67</v>
      </c>
      <c r="I303" s="139">
        <v>2960</v>
      </c>
      <c r="J303" s="134"/>
    </row>
    <row r="304" spans="1:10">
      <c r="A304" s="126" t="s">
        <v>691</v>
      </c>
      <c r="B304" s="127" t="s">
        <v>1021</v>
      </c>
      <c r="C304" s="127">
        <v>13415</v>
      </c>
      <c r="D304" s="127" t="s">
        <v>675</v>
      </c>
      <c r="E304" s="126" t="s">
        <v>680</v>
      </c>
      <c r="F304" s="132">
        <v>32</v>
      </c>
      <c r="G304" s="127" t="s">
        <v>50</v>
      </c>
      <c r="H304" s="132">
        <v>79.87</v>
      </c>
      <c r="I304" s="140">
        <v>2556</v>
      </c>
      <c r="J304" s="135" t="s">
        <v>1018</v>
      </c>
    </row>
    <row r="305" spans="1:10" s="126" customFormat="1" ht="13.5" thickBot="1">
      <c r="A305" s="126" t="s">
        <v>800</v>
      </c>
      <c r="B305" s="127" t="s">
        <v>1021</v>
      </c>
      <c r="C305" s="127">
        <v>7604</v>
      </c>
      <c r="D305" s="127" t="s">
        <v>675</v>
      </c>
      <c r="E305" s="126" t="s">
        <v>682</v>
      </c>
      <c r="F305" s="132">
        <v>16</v>
      </c>
      <c r="G305" s="127" t="s">
        <v>50</v>
      </c>
      <c r="H305" s="132">
        <v>25.27</v>
      </c>
      <c r="I305" s="140">
        <v>404</v>
      </c>
      <c r="J305" s="135" t="s">
        <v>1018</v>
      </c>
    </row>
    <row r="306" spans="1:10" ht="15.75" thickBot="1">
      <c r="A306" s="122" t="s">
        <v>801</v>
      </c>
      <c r="B306" s="123" t="s">
        <v>1022</v>
      </c>
      <c r="C306" s="123" t="s">
        <v>683</v>
      </c>
      <c r="D306" s="123" t="s">
        <v>675</v>
      </c>
      <c r="E306" s="122" t="s">
        <v>684</v>
      </c>
      <c r="F306" s="130">
        <v>48</v>
      </c>
      <c r="G306" s="123" t="s">
        <v>30</v>
      </c>
      <c r="H306" s="130">
        <v>50</v>
      </c>
      <c r="I306" s="139">
        <v>2400</v>
      </c>
      <c r="J306" s="134"/>
    </row>
    <row r="307" spans="1:10" ht="15.75" thickBot="1">
      <c r="A307" s="126" t="s">
        <v>802</v>
      </c>
      <c r="B307" s="127" t="s">
        <v>1021</v>
      </c>
      <c r="C307" s="127" t="s">
        <v>685</v>
      </c>
      <c r="D307" s="127" t="s">
        <v>675</v>
      </c>
      <c r="E307" s="126" t="s">
        <v>686</v>
      </c>
      <c r="F307" s="132">
        <v>48</v>
      </c>
      <c r="G307" s="127" t="s">
        <v>50</v>
      </c>
      <c r="H307" s="132">
        <v>50</v>
      </c>
      <c r="I307" s="140">
        <v>2400</v>
      </c>
      <c r="J307" s="135" t="s">
        <v>1019</v>
      </c>
    </row>
    <row r="308" spans="1:10" s="126" customFormat="1" ht="13.5" thickBot="1">
      <c r="A308" s="118">
        <v>-25</v>
      </c>
      <c r="B308" s="108" t="s">
        <v>1020</v>
      </c>
      <c r="C308" s="108">
        <v>26</v>
      </c>
      <c r="D308" s="108"/>
      <c r="E308" s="118" t="s">
        <v>687</v>
      </c>
      <c r="F308" s="129">
        <v>2458.25</v>
      </c>
      <c r="G308" s="108" t="s">
        <v>82</v>
      </c>
      <c r="H308" s="129">
        <v>6</v>
      </c>
      <c r="I308" s="138">
        <v>14750</v>
      </c>
      <c r="J308" s="110"/>
    </row>
    <row r="309" spans="1:10" s="126" customFormat="1" ht="13.5" thickBot="1">
      <c r="A309" s="122" t="s">
        <v>695</v>
      </c>
      <c r="B309" s="123" t="s">
        <v>1022</v>
      </c>
      <c r="C309" s="123" t="s">
        <v>689</v>
      </c>
      <c r="D309" s="123" t="s">
        <v>687</v>
      </c>
      <c r="E309" s="122" t="s">
        <v>690</v>
      </c>
      <c r="F309" s="130">
        <v>2458.25</v>
      </c>
      <c r="G309" s="123" t="s">
        <v>82</v>
      </c>
      <c r="H309" s="130">
        <v>6</v>
      </c>
      <c r="I309" s="139">
        <v>14750</v>
      </c>
      <c r="J309" s="134"/>
    </row>
    <row r="310" spans="1:10" s="126" customFormat="1" ht="13.5" thickBot="1">
      <c r="A310" s="126" t="s">
        <v>698</v>
      </c>
      <c r="B310" s="127" t="s">
        <v>1021</v>
      </c>
      <c r="C310" s="127" t="s">
        <v>692</v>
      </c>
      <c r="D310" s="127" t="s">
        <v>687</v>
      </c>
      <c r="E310" s="126" t="s">
        <v>693</v>
      </c>
      <c r="F310" s="132">
        <v>2458.25</v>
      </c>
      <c r="G310" s="127" t="s">
        <v>82</v>
      </c>
      <c r="H310" s="132">
        <v>6</v>
      </c>
      <c r="I310" s="140">
        <v>14750</v>
      </c>
      <c r="J310" s="135" t="s">
        <v>1019</v>
      </c>
    </row>
    <row r="311" spans="1:10" s="126" customFormat="1" ht="13.5" thickBot="1">
      <c r="A311" s="118">
        <v>-26</v>
      </c>
      <c r="B311" s="108" t="s">
        <v>1020</v>
      </c>
      <c r="C311" s="108">
        <v>27</v>
      </c>
      <c r="D311" s="108"/>
      <c r="E311" s="118" t="s">
        <v>694</v>
      </c>
      <c r="F311" s="129">
        <v>40</v>
      </c>
      <c r="G311" s="108" t="s">
        <v>50</v>
      </c>
      <c r="H311" s="129">
        <v>1277.33</v>
      </c>
      <c r="I311" s="138">
        <v>51093</v>
      </c>
      <c r="J311" s="110"/>
    </row>
    <row r="312" spans="1:10" s="126" customFormat="1" ht="13.5" thickBot="1">
      <c r="A312" s="122" t="s">
        <v>722</v>
      </c>
      <c r="B312" s="123" t="s">
        <v>1022</v>
      </c>
      <c r="C312" s="123" t="s">
        <v>696</v>
      </c>
      <c r="D312" s="123" t="s">
        <v>694</v>
      </c>
      <c r="E312" s="122" t="s">
        <v>697</v>
      </c>
      <c r="F312" s="130">
        <v>20</v>
      </c>
      <c r="G312" s="123" t="s">
        <v>50</v>
      </c>
      <c r="H312" s="130">
        <v>636.33000000000004</v>
      </c>
      <c r="I312" s="139">
        <v>12727</v>
      </c>
      <c r="J312" s="134"/>
    </row>
    <row r="313" spans="1:10" s="126" customFormat="1" ht="12.75">
      <c r="A313" s="126" t="s">
        <v>726</v>
      </c>
      <c r="B313" s="127" t="s">
        <v>1021</v>
      </c>
      <c r="C313" s="127">
        <v>21142</v>
      </c>
      <c r="D313" s="127" t="s">
        <v>694</v>
      </c>
      <c r="E313" s="126" t="s">
        <v>699</v>
      </c>
      <c r="F313" s="132">
        <v>20</v>
      </c>
      <c r="G313" s="127" t="s">
        <v>50</v>
      </c>
      <c r="H313" s="132">
        <v>23.1</v>
      </c>
      <c r="I313" s="140">
        <v>462</v>
      </c>
      <c r="J313" s="135" t="s">
        <v>1018</v>
      </c>
    </row>
    <row r="314" spans="1:10" s="126" customFormat="1" ht="12.75">
      <c r="A314" s="126" t="s">
        <v>728</v>
      </c>
      <c r="B314" s="127" t="s">
        <v>1021</v>
      </c>
      <c r="C314" s="127">
        <v>39027</v>
      </c>
      <c r="D314" s="127" t="s">
        <v>694</v>
      </c>
      <c r="E314" s="126" t="s">
        <v>700</v>
      </c>
      <c r="F314" s="132">
        <v>27</v>
      </c>
      <c r="G314" s="127" t="s">
        <v>14</v>
      </c>
      <c r="H314" s="132">
        <v>21.68</v>
      </c>
      <c r="I314" s="140">
        <v>585</v>
      </c>
      <c r="J314" s="135" t="s">
        <v>1018</v>
      </c>
    </row>
    <row r="315" spans="1:10" s="126" customFormat="1" ht="12.75">
      <c r="A315" s="126" t="s">
        <v>731</v>
      </c>
      <c r="B315" s="127" t="s">
        <v>1021</v>
      </c>
      <c r="C315" s="127">
        <v>40552</v>
      </c>
      <c r="D315" s="127" t="s">
        <v>694</v>
      </c>
      <c r="E315" s="126" t="s">
        <v>701</v>
      </c>
      <c r="F315" s="132">
        <v>0.8</v>
      </c>
      <c r="G315" s="127" t="s">
        <v>520</v>
      </c>
      <c r="H315" s="132">
        <v>30.95</v>
      </c>
      <c r="I315" s="140">
        <v>25</v>
      </c>
      <c r="J315" s="135" t="s">
        <v>1018</v>
      </c>
    </row>
    <row r="316" spans="1:10">
      <c r="A316" s="126" t="s">
        <v>733</v>
      </c>
      <c r="B316" s="127" t="s">
        <v>1021</v>
      </c>
      <c r="C316" s="127">
        <v>4400</v>
      </c>
      <c r="D316" s="127" t="s">
        <v>694</v>
      </c>
      <c r="E316" s="126" t="s">
        <v>702</v>
      </c>
      <c r="F316" s="132">
        <v>100</v>
      </c>
      <c r="G316" s="127" t="s">
        <v>5</v>
      </c>
      <c r="H316" s="132">
        <v>12.65</v>
      </c>
      <c r="I316" s="140">
        <v>1265</v>
      </c>
      <c r="J316" s="135" t="s">
        <v>1018</v>
      </c>
    </row>
    <row r="317" spans="1:10" s="126" customFormat="1" ht="12.75">
      <c r="A317" s="126" t="s">
        <v>735</v>
      </c>
      <c r="B317" s="127" t="s">
        <v>1021</v>
      </c>
      <c r="C317" s="127">
        <v>4415</v>
      </c>
      <c r="D317" s="127" t="s">
        <v>694</v>
      </c>
      <c r="E317" s="126" t="s">
        <v>703</v>
      </c>
      <c r="F317" s="132">
        <v>50</v>
      </c>
      <c r="G317" s="127" t="s">
        <v>5</v>
      </c>
      <c r="H317" s="132">
        <v>3</v>
      </c>
      <c r="I317" s="140">
        <v>150</v>
      </c>
      <c r="J317" s="135" t="s">
        <v>1018</v>
      </c>
    </row>
    <row r="318" spans="1:10">
      <c r="A318" s="126" t="s">
        <v>803</v>
      </c>
      <c r="B318" s="127" t="s">
        <v>1021</v>
      </c>
      <c r="C318" s="127">
        <v>4425</v>
      </c>
      <c r="D318" s="127" t="s">
        <v>694</v>
      </c>
      <c r="E318" s="126" t="s">
        <v>704</v>
      </c>
      <c r="F318" s="132">
        <v>540</v>
      </c>
      <c r="G318" s="127" t="s">
        <v>5</v>
      </c>
      <c r="H318" s="132">
        <v>16.809999999999999</v>
      </c>
      <c r="I318" s="140">
        <v>9077</v>
      </c>
      <c r="J318" s="135" t="s">
        <v>1018</v>
      </c>
    </row>
    <row r="319" spans="1:10" s="126" customFormat="1" ht="12.75">
      <c r="A319" s="126" t="s">
        <v>804</v>
      </c>
      <c r="B319" s="127" t="s">
        <v>1021</v>
      </c>
      <c r="C319" s="127">
        <v>5075</v>
      </c>
      <c r="D319" s="127" t="s">
        <v>694</v>
      </c>
      <c r="E319" s="126" t="s">
        <v>705</v>
      </c>
      <c r="F319" s="132">
        <v>22.5</v>
      </c>
      <c r="G319" s="127" t="s">
        <v>14</v>
      </c>
      <c r="H319" s="132">
        <v>21.7</v>
      </c>
      <c r="I319" s="140">
        <v>488</v>
      </c>
      <c r="J319" s="135" t="s">
        <v>1018</v>
      </c>
    </row>
    <row r="320" spans="1:10" s="126" customFormat="1" ht="13.5" thickBot="1">
      <c r="A320" s="126" t="s">
        <v>805</v>
      </c>
      <c r="B320" s="127" t="s">
        <v>1021</v>
      </c>
      <c r="C320" s="127">
        <v>6193</v>
      </c>
      <c r="D320" s="127" t="s">
        <v>694</v>
      </c>
      <c r="E320" s="126" t="s">
        <v>706</v>
      </c>
      <c r="F320" s="132">
        <v>60</v>
      </c>
      <c r="G320" s="127" t="s">
        <v>5</v>
      </c>
      <c r="H320" s="132">
        <v>11.23</v>
      </c>
      <c r="I320" s="140">
        <v>674</v>
      </c>
      <c r="J320" s="135" t="s">
        <v>1018</v>
      </c>
    </row>
    <row r="321" spans="1:10" s="126" customFormat="1" ht="13.5" thickBot="1">
      <c r="A321" s="122" t="s">
        <v>737</v>
      </c>
      <c r="B321" s="123" t="s">
        <v>1022</v>
      </c>
      <c r="C321" s="123" t="s">
        <v>707</v>
      </c>
      <c r="D321" s="123" t="s">
        <v>694</v>
      </c>
      <c r="E321" s="122" t="s">
        <v>708</v>
      </c>
      <c r="F321" s="130">
        <v>20</v>
      </c>
      <c r="G321" s="123" t="s">
        <v>50</v>
      </c>
      <c r="H321" s="130">
        <v>1000</v>
      </c>
      <c r="I321" s="139">
        <v>20000</v>
      </c>
      <c r="J321" s="134"/>
    </row>
    <row r="322" spans="1:10" ht="15.75" thickBot="1">
      <c r="A322" s="126" t="s">
        <v>740</v>
      </c>
      <c r="B322" s="127" t="s">
        <v>1021</v>
      </c>
      <c r="C322" s="127" t="s">
        <v>709</v>
      </c>
      <c r="D322" s="127" t="s">
        <v>694</v>
      </c>
      <c r="E322" s="126" t="s">
        <v>710</v>
      </c>
      <c r="F322" s="132">
        <v>20</v>
      </c>
      <c r="G322" s="127" t="s">
        <v>50</v>
      </c>
      <c r="H322" s="132">
        <v>1000</v>
      </c>
      <c r="I322" s="140">
        <v>20000</v>
      </c>
      <c r="J322" s="135" t="s">
        <v>1019</v>
      </c>
    </row>
    <row r="323" spans="1:10" s="126" customFormat="1" ht="13.5" thickBot="1">
      <c r="A323" s="122" t="s">
        <v>746</v>
      </c>
      <c r="B323" s="123" t="s">
        <v>1022</v>
      </c>
      <c r="C323" s="123" t="s">
        <v>711</v>
      </c>
      <c r="D323" s="123" t="s">
        <v>694</v>
      </c>
      <c r="E323" s="122" t="s">
        <v>712</v>
      </c>
      <c r="F323" s="130">
        <v>243.7</v>
      </c>
      <c r="G323" s="123" t="s">
        <v>82</v>
      </c>
      <c r="H323" s="130">
        <v>55.37</v>
      </c>
      <c r="I323" s="139">
        <v>13493</v>
      </c>
      <c r="J323" s="134"/>
    </row>
    <row r="324" spans="1:10">
      <c r="A324" s="126" t="s">
        <v>749</v>
      </c>
      <c r="B324" s="127" t="s">
        <v>1021</v>
      </c>
      <c r="C324" s="127">
        <v>1607</v>
      </c>
      <c r="D324" s="127" t="s">
        <v>694</v>
      </c>
      <c r="E324" s="126" t="s">
        <v>713</v>
      </c>
      <c r="F324" s="132">
        <v>309.49</v>
      </c>
      <c r="G324" s="127" t="s">
        <v>714</v>
      </c>
      <c r="H324" s="132">
        <v>0.22</v>
      </c>
      <c r="I324" s="140">
        <v>68</v>
      </c>
      <c r="J324" s="135" t="s">
        <v>1018</v>
      </c>
    </row>
    <row r="325" spans="1:10">
      <c r="A325" s="126" t="s">
        <v>806</v>
      </c>
      <c r="B325" s="127" t="s">
        <v>1021</v>
      </c>
      <c r="C325" s="127">
        <v>4302</v>
      </c>
      <c r="D325" s="127" t="s">
        <v>694</v>
      </c>
      <c r="E325" s="126" t="s">
        <v>715</v>
      </c>
      <c r="F325" s="132">
        <v>309.49</v>
      </c>
      <c r="G325" s="127" t="s">
        <v>50</v>
      </c>
      <c r="H325" s="132">
        <v>3.55</v>
      </c>
      <c r="I325" s="140">
        <v>1099</v>
      </c>
      <c r="J325" s="135" t="s">
        <v>1018</v>
      </c>
    </row>
    <row r="326" spans="1:10" s="126" customFormat="1" ht="13.5" thickBot="1">
      <c r="A326" s="126" t="s">
        <v>807</v>
      </c>
      <c r="B326" s="127" t="s">
        <v>1021</v>
      </c>
      <c r="C326" s="127">
        <v>7194</v>
      </c>
      <c r="D326" s="127" t="s">
        <v>694</v>
      </c>
      <c r="E326" s="126" t="s">
        <v>716</v>
      </c>
      <c r="F326" s="132">
        <v>310.70999999999998</v>
      </c>
      <c r="G326" s="127" t="s">
        <v>82</v>
      </c>
      <c r="H326" s="132">
        <v>39.67</v>
      </c>
      <c r="I326" s="140">
        <v>12326</v>
      </c>
      <c r="J326" s="135" t="s">
        <v>1018</v>
      </c>
    </row>
    <row r="327" spans="1:10" s="126" customFormat="1" ht="13.5" thickBot="1">
      <c r="A327" s="122" t="s">
        <v>808</v>
      </c>
      <c r="B327" s="123" t="s">
        <v>1022</v>
      </c>
      <c r="C327" s="123" t="s">
        <v>717</v>
      </c>
      <c r="D327" s="123" t="s">
        <v>694</v>
      </c>
      <c r="E327" s="122" t="s">
        <v>718</v>
      </c>
      <c r="F327" s="130">
        <v>243.7</v>
      </c>
      <c r="G327" s="123" t="s">
        <v>82</v>
      </c>
      <c r="H327" s="130">
        <v>20</v>
      </c>
      <c r="I327" s="139">
        <v>4874</v>
      </c>
      <c r="J327" s="134"/>
    </row>
    <row r="328" spans="1:10" s="126" customFormat="1" ht="13.5" thickBot="1">
      <c r="A328" s="126" t="s">
        <v>809</v>
      </c>
      <c r="B328" s="127" t="s">
        <v>1021</v>
      </c>
      <c r="C328" s="127" t="s">
        <v>719</v>
      </c>
      <c r="D328" s="127" t="s">
        <v>694</v>
      </c>
      <c r="E328" s="126" t="s">
        <v>720</v>
      </c>
      <c r="F328" s="132">
        <v>243.7</v>
      </c>
      <c r="G328" s="127" t="s">
        <v>82</v>
      </c>
      <c r="H328" s="132">
        <v>20</v>
      </c>
      <c r="I328" s="140">
        <v>4874</v>
      </c>
      <c r="J328" s="135" t="s">
        <v>1019</v>
      </c>
    </row>
    <row r="329" spans="1:10" s="126" customFormat="1" ht="13.5" thickBot="1">
      <c r="A329" s="118">
        <v>-27</v>
      </c>
      <c r="B329" s="108" t="s">
        <v>1020</v>
      </c>
      <c r="C329" s="108">
        <v>28</v>
      </c>
      <c r="D329" s="108"/>
      <c r="E329" s="118" t="s">
        <v>721</v>
      </c>
      <c r="F329" s="129">
        <v>1</v>
      </c>
      <c r="G329" s="108" t="s">
        <v>30</v>
      </c>
      <c r="H329" s="129">
        <v>10092.26</v>
      </c>
      <c r="I329" s="138">
        <v>10092</v>
      </c>
      <c r="J329" s="110"/>
    </row>
    <row r="330" spans="1:10" s="126" customFormat="1" ht="13.5" thickBot="1">
      <c r="A330" s="122" t="s">
        <v>810</v>
      </c>
      <c r="B330" s="123" t="s">
        <v>1022</v>
      </c>
      <c r="C330" s="123" t="s">
        <v>723</v>
      </c>
      <c r="D330" s="123" t="s">
        <v>721</v>
      </c>
      <c r="E330" s="122" t="s">
        <v>724</v>
      </c>
      <c r="F330" s="130">
        <v>75.180000000000007</v>
      </c>
      <c r="G330" s="123" t="s">
        <v>725</v>
      </c>
      <c r="H330" s="130">
        <v>54.52</v>
      </c>
      <c r="I330" s="139">
        <v>4099</v>
      </c>
      <c r="J330" s="134"/>
    </row>
    <row r="331" spans="1:10">
      <c r="A331" s="126" t="s">
        <v>811</v>
      </c>
      <c r="B331" s="127" t="s">
        <v>1021</v>
      </c>
      <c r="C331" s="127">
        <v>13388</v>
      </c>
      <c r="D331" s="127" t="s">
        <v>721</v>
      </c>
      <c r="E331" s="126" t="s">
        <v>727</v>
      </c>
      <c r="F331" s="132">
        <v>3.38</v>
      </c>
      <c r="G331" s="127" t="s">
        <v>14</v>
      </c>
      <c r="H331" s="132">
        <v>216.55</v>
      </c>
      <c r="I331" s="140">
        <v>733</v>
      </c>
      <c r="J331" s="135" t="s">
        <v>1018</v>
      </c>
    </row>
    <row r="332" spans="1:10" s="126" customFormat="1" ht="12.75">
      <c r="A332" s="126" t="s">
        <v>812</v>
      </c>
      <c r="B332" s="127" t="s">
        <v>1021</v>
      </c>
      <c r="C332" s="127">
        <v>142</v>
      </c>
      <c r="D332" s="127" t="s">
        <v>721</v>
      </c>
      <c r="E332" s="126" t="s">
        <v>729</v>
      </c>
      <c r="F332" s="132">
        <v>14.89</v>
      </c>
      <c r="G332" s="127" t="s">
        <v>730</v>
      </c>
      <c r="H332" s="132">
        <v>26.42</v>
      </c>
      <c r="I332" s="140">
        <v>393</v>
      </c>
      <c r="J332" s="135" t="s">
        <v>1018</v>
      </c>
    </row>
    <row r="333" spans="1:10" s="126" customFormat="1" ht="12.75">
      <c r="A333" s="126" t="s">
        <v>813</v>
      </c>
      <c r="B333" s="127" t="s">
        <v>1021</v>
      </c>
      <c r="C333" s="127">
        <v>40873</v>
      </c>
      <c r="D333" s="127" t="s">
        <v>721</v>
      </c>
      <c r="E333" s="126" t="s">
        <v>732</v>
      </c>
      <c r="F333" s="132">
        <v>78.94</v>
      </c>
      <c r="G333" s="127" t="s">
        <v>5</v>
      </c>
      <c r="H333" s="132">
        <v>37.450000000000003</v>
      </c>
      <c r="I333" s="140">
        <v>2956</v>
      </c>
      <c r="J333" s="135" t="s">
        <v>1018</v>
      </c>
    </row>
    <row r="334" spans="1:10" s="126" customFormat="1" ht="12.75">
      <c r="A334" s="126" t="s">
        <v>814</v>
      </c>
      <c r="B334" s="127" t="s">
        <v>1021</v>
      </c>
      <c r="C334" s="127">
        <v>5061</v>
      </c>
      <c r="D334" s="127" t="s">
        <v>721</v>
      </c>
      <c r="E334" s="126" t="s">
        <v>734</v>
      </c>
      <c r="F334" s="132">
        <v>0.45</v>
      </c>
      <c r="G334" s="127" t="s">
        <v>14</v>
      </c>
      <c r="H334" s="132">
        <v>21.33</v>
      </c>
      <c r="I334" s="140">
        <v>10</v>
      </c>
      <c r="J334" s="135" t="s">
        <v>1018</v>
      </c>
    </row>
    <row r="335" spans="1:10" s="126" customFormat="1" ht="13.5" thickBot="1">
      <c r="A335" s="126" t="s">
        <v>815</v>
      </c>
      <c r="B335" s="127" t="s">
        <v>1021</v>
      </c>
      <c r="C335" s="127">
        <v>5104</v>
      </c>
      <c r="D335" s="127" t="s">
        <v>721</v>
      </c>
      <c r="E335" s="126" t="s">
        <v>736</v>
      </c>
      <c r="F335" s="132">
        <v>0.09</v>
      </c>
      <c r="G335" s="127" t="s">
        <v>14</v>
      </c>
      <c r="H335" s="132">
        <v>77.63</v>
      </c>
      <c r="I335" s="140">
        <v>7</v>
      </c>
      <c r="J335" s="135" t="s">
        <v>1018</v>
      </c>
    </row>
    <row r="336" spans="1:10" s="126" customFormat="1" ht="13.5" thickBot="1">
      <c r="A336" s="122" t="s">
        <v>816</v>
      </c>
      <c r="B336" s="123" t="s">
        <v>1022</v>
      </c>
      <c r="C336" s="123" t="s">
        <v>738</v>
      </c>
      <c r="D336" s="123" t="s">
        <v>721</v>
      </c>
      <c r="E336" s="122" t="s">
        <v>739</v>
      </c>
      <c r="F336" s="130">
        <v>37.590000000000003</v>
      </c>
      <c r="G336" s="123" t="s">
        <v>725</v>
      </c>
      <c r="H336" s="130">
        <v>92.94</v>
      </c>
      <c r="I336" s="139">
        <v>3493</v>
      </c>
      <c r="J336" s="134"/>
    </row>
    <row r="337" spans="1:10">
      <c r="A337" s="126" t="s">
        <v>817</v>
      </c>
      <c r="B337" s="127" t="s">
        <v>1021</v>
      </c>
      <c r="C337" s="127">
        <v>13388</v>
      </c>
      <c r="D337" s="127" t="s">
        <v>721</v>
      </c>
      <c r="E337" s="126" t="s">
        <v>727</v>
      </c>
      <c r="F337" s="132">
        <v>3.38</v>
      </c>
      <c r="G337" s="127" t="s">
        <v>14</v>
      </c>
      <c r="H337" s="132">
        <v>216.55</v>
      </c>
      <c r="I337" s="140">
        <v>733</v>
      </c>
      <c r="J337" s="135" t="s">
        <v>1018</v>
      </c>
    </row>
    <row r="338" spans="1:10" s="126" customFormat="1" ht="12.75">
      <c r="A338" s="126" t="s">
        <v>818</v>
      </c>
      <c r="B338" s="127" t="s">
        <v>1021</v>
      </c>
      <c r="C338" s="127" t="s">
        <v>741</v>
      </c>
      <c r="D338" s="127" t="s">
        <v>721</v>
      </c>
      <c r="E338" s="126" t="s">
        <v>734</v>
      </c>
      <c r="F338" s="132">
        <v>0.49</v>
      </c>
      <c r="G338" s="127" t="s">
        <v>14</v>
      </c>
      <c r="H338" s="132">
        <v>21.33</v>
      </c>
      <c r="I338" s="140">
        <v>10</v>
      </c>
      <c r="J338" s="135" t="s">
        <v>1018</v>
      </c>
    </row>
    <row r="339" spans="1:10">
      <c r="A339" s="126" t="s">
        <v>819</v>
      </c>
      <c r="B339" s="127" t="s">
        <v>1021</v>
      </c>
      <c r="C339" s="127" t="s">
        <v>742</v>
      </c>
      <c r="D339" s="127" t="s">
        <v>721</v>
      </c>
      <c r="E339" s="126" t="s">
        <v>729</v>
      </c>
      <c r="F339" s="132">
        <v>3.04</v>
      </c>
      <c r="G339" s="127" t="s">
        <v>730</v>
      </c>
      <c r="H339" s="132">
        <v>26.42</v>
      </c>
      <c r="I339" s="140">
        <v>80</v>
      </c>
      <c r="J339" s="135" t="s">
        <v>1018</v>
      </c>
    </row>
    <row r="340" spans="1:10">
      <c r="A340" s="126" t="s">
        <v>820</v>
      </c>
      <c r="B340" s="127" t="s">
        <v>1021</v>
      </c>
      <c r="C340" s="127" t="s">
        <v>743</v>
      </c>
      <c r="D340" s="127" t="s">
        <v>721</v>
      </c>
      <c r="E340" s="126" t="s">
        <v>736</v>
      </c>
      <c r="F340" s="132">
        <v>0.09</v>
      </c>
      <c r="G340" s="127" t="s">
        <v>14</v>
      </c>
      <c r="H340" s="132">
        <v>77.63</v>
      </c>
      <c r="I340" s="140">
        <v>7</v>
      </c>
      <c r="J340" s="135" t="s">
        <v>1018</v>
      </c>
    </row>
    <row r="341" spans="1:10" ht="15.75" thickBot="1">
      <c r="A341" s="126" t="s">
        <v>821</v>
      </c>
      <c r="B341" s="127" t="s">
        <v>1021</v>
      </c>
      <c r="C341" s="127" t="s">
        <v>744</v>
      </c>
      <c r="D341" s="127" t="s">
        <v>721</v>
      </c>
      <c r="E341" s="126" t="s">
        <v>745</v>
      </c>
      <c r="F341" s="132">
        <v>39.47</v>
      </c>
      <c r="G341" s="127" t="s">
        <v>5</v>
      </c>
      <c r="H341" s="132">
        <v>67.47</v>
      </c>
      <c r="I341" s="140">
        <v>2663</v>
      </c>
      <c r="J341" s="135" t="s">
        <v>1018</v>
      </c>
    </row>
    <row r="342" spans="1:10" ht="15.75" thickBot="1">
      <c r="A342" s="122" t="s">
        <v>822</v>
      </c>
      <c r="B342" s="123" t="s">
        <v>1022</v>
      </c>
      <c r="C342" s="123" t="s">
        <v>747</v>
      </c>
      <c r="D342" s="123" t="s">
        <v>721</v>
      </c>
      <c r="E342" s="122" t="s">
        <v>748</v>
      </c>
      <c r="F342" s="130">
        <v>1</v>
      </c>
      <c r="G342" s="123" t="s">
        <v>30</v>
      </c>
      <c r="H342" s="130">
        <v>2500</v>
      </c>
      <c r="I342" s="139">
        <v>2500</v>
      </c>
      <c r="J342" s="134"/>
    </row>
    <row r="343" spans="1:10" ht="15.75" thickBot="1">
      <c r="A343" s="126" t="s">
        <v>823</v>
      </c>
      <c r="B343" s="127" t="s">
        <v>1021</v>
      </c>
      <c r="C343" s="127" t="s">
        <v>750</v>
      </c>
      <c r="D343" s="127" t="s">
        <v>721</v>
      </c>
      <c r="E343" s="126" t="s">
        <v>751</v>
      </c>
      <c r="F343" s="132">
        <v>1</v>
      </c>
      <c r="G343" s="127" t="s">
        <v>30</v>
      </c>
      <c r="H343" s="132">
        <v>2500</v>
      </c>
      <c r="I343" s="140">
        <v>2500</v>
      </c>
      <c r="J343" s="135" t="s">
        <v>1019</v>
      </c>
    </row>
    <row r="344" spans="1:10" ht="15.75" thickBot="1">
      <c r="A344" s="118">
        <v>-28</v>
      </c>
      <c r="B344" s="108" t="s">
        <v>1020</v>
      </c>
      <c r="C344" s="108">
        <v>29</v>
      </c>
      <c r="D344" s="108"/>
      <c r="E344" s="118" t="s">
        <v>752</v>
      </c>
      <c r="F344" s="129">
        <v>1</v>
      </c>
      <c r="G344" s="108" t="s">
        <v>30</v>
      </c>
      <c r="H344" s="129">
        <v>2000</v>
      </c>
      <c r="I344" s="138">
        <v>2000</v>
      </c>
      <c r="J344" s="110"/>
    </row>
    <row r="345" spans="1:10" ht="15.75" thickBot="1">
      <c r="A345" s="126" t="s">
        <v>824</v>
      </c>
      <c r="B345" s="127" t="s">
        <v>1021</v>
      </c>
      <c r="C345" s="127">
        <v>10</v>
      </c>
      <c r="D345" s="127" t="s">
        <v>752</v>
      </c>
      <c r="E345" s="126" t="s">
        <v>754</v>
      </c>
      <c r="F345" s="132">
        <v>1</v>
      </c>
      <c r="G345" s="127" t="s">
        <v>30</v>
      </c>
      <c r="H345" s="132">
        <v>2000</v>
      </c>
      <c r="I345" s="140">
        <v>2000</v>
      </c>
      <c r="J345" s="135" t="s">
        <v>1019</v>
      </c>
    </row>
    <row r="346" spans="1:10" s="126" customFormat="1" ht="13.5" thickBot="1">
      <c r="A346" s="118">
        <v>-29</v>
      </c>
      <c r="B346" s="108" t="s">
        <v>1020</v>
      </c>
      <c r="C346" s="108">
        <v>30</v>
      </c>
      <c r="D346" s="108"/>
      <c r="E346" s="118" t="s">
        <v>755</v>
      </c>
      <c r="F346" s="129">
        <v>745.27</v>
      </c>
      <c r="G346" s="108" t="s">
        <v>82</v>
      </c>
      <c r="H346" s="129">
        <v>111.23</v>
      </c>
      <c r="I346" s="138">
        <v>82893</v>
      </c>
      <c r="J346" s="110"/>
    </row>
    <row r="347" spans="1:10" ht="15.75" thickBot="1">
      <c r="A347" s="122" t="s">
        <v>777</v>
      </c>
      <c r="B347" s="123" t="s">
        <v>1022</v>
      </c>
      <c r="C347" s="123" t="s">
        <v>756</v>
      </c>
      <c r="D347" s="123" t="s">
        <v>755</v>
      </c>
      <c r="E347" s="122" t="s">
        <v>757</v>
      </c>
      <c r="F347" s="130">
        <v>84</v>
      </c>
      <c r="G347" s="123" t="s">
        <v>50</v>
      </c>
      <c r="H347" s="130">
        <v>200</v>
      </c>
      <c r="I347" s="139">
        <v>16800</v>
      </c>
      <c r="J347" s="134"/>
    </row>
    <row r="348" spans="1:10">
      <c r="A348" s="126" t="s">
        <v>780</v>
      </c>
      <c r="B348" s="127" t="s">
        <v>1021</v>
      </c>
      <c r="C348" s="127" t="s">
        <v>758</v>
      </c>
      <c r="D348" s="127" t="s">
        <v>755</v>
      </c>
      <c r="E348" s="126" t="s">
        <v>759</v>
      </c>
      <c r="F348" s="132">
        <v>84</v>
      </c>
      <c r="G348" s="127" t="s">
        <v>50</v>
      </c>
      <c r="H348" s="132">
        <v>150</v>
      </c>
      <c r="I348" s="140">
        <v>12600</v>
      </c>
      <c r="J348" s="135" t="s">
        <v>1018</v>
      </c>
    </row>
    <row r="349" spans="1:10" ht="15.75" thickBot="1">
      <c r="A349" s="126" t="s">
        <v>825</v>
      </c>
      <c r="B349" s="127" t="s">
        <v>1021</v>
      </c>
      <c r="C349" s="127" t="s">
        <v>760</v>
      </c>
      <c r="D349" s="127" t="s">
        <v>755</v>
      </c>
      <c r="E349" s="126" t="s">
        <v>761</v>
      </c>
      <c r="F349" s="132">
        <v>84</v>
      </c>
      <c r="G349" s="127" t="s">
        <v>50</v>
      </c>
      <c r="H349" s="132">
        <v>50</v>
      </c>
      <c r="I349" s="140">
        <v>4200</v>
      </c>
      <c r="J349" s="135" t="s">
        <v>1019</v>
      </c>
    </row>
    <row r="350" spans="1:10" s="126" customFormat="1" ht="13.5" thickBot="1">
      <c r="A350" s="122" t="s">
        <v>781</v>
      </c>
      <c r="B350" s="123" t="s">
        <v>1022</v>
      </c>
      <c r="C350" s="123" t="s">
        <v>762</v>
      </c>
      <c r="D350" s="123" t="s">
        <v>755</v>
      </c>
      <c r="E350" s="122" t="s">
        <v>763</v>
      </c>
      <c r="F350" s="130">
        <v>238.08</v>
      </c>
      <c r="G350" s="123" t="s">
        <v>5</v>
      </c>
      <c r="H350" s="130">
        <v>81.05</v>
      </c>
      <c r="I350" s="139">
        <v>19296</v>
      </c>
      <c r="J350" s="134"/>
    </row>
    <row r="351" spans="1:10" ht="15.75" thickBot="1">
      <c r="A351" s="126" t="s">
        <v>784</v>
      </c>
      <c r="B351" s="127" t="s">
        <v>1021</v>
      </c>
      <c r="C351" s="127">
        <v>34747</v>
      </c>
      <c r="D351" s="127" t="s">
        <v>755</v>
      </c>
      <c r="E351" s="126" t="s">
        <v>764</v>
      </c>
      <c r="F351" s="131">
        <v>247.61</v>
      </c>
      <c r="G351" s="127" t="s">
        <v>5</v>
      </c>
      <c r="H351" s="132">
        <v>77.930000000000007</v>
      </c>
      <c r="I351" s="132">
        <v>19296</v>
      </c>
      <c r="J351" s="135" t="s">
        <v>1018</v>
      </c>
    </row>
    <row r="352" spans="1:10" s="126" customFormat="1" ht="13.5" thickBot="1">
      <c r="A352" s="122" t="s">
        <v>785</v>
      </c>
      <c r="B352" s="123" t="s">
        <v>1022</v>
      </c>
      <c r="C352" s="123" t="s">
        <v>765</v>
      </c>
      <c r="D352" s="123" t="s">
        <v>755</v>
      </c>
      <c r="E352" s="122" t="s">
        <v>766</v>
      </c>
      <c r="F352" s="130">
        <v>238.08</v>
      </c>
      <c r="G352" s="123" t="s">
        <v>5</v>
      </c>
      <c r="H352" s="130">
        <v>15</v>
      </c>
      <c r="I352" s="139">
        <v>3571</v>
      </c>
      <c r="J352" s="134"/>
    </row>
    <row r="353" spans="1:10" ht="15.75" thickBot="1">
      <c r="A353" s="126" t="s">
        <v>788</v>
      </c>
      <c r="B353" s="127" t="s">
        <v>1021</v>
      </c>
      <c r="C353" s="127" t="s">
        <v>767</v>
      </c>
      <c r="D353" s="127" t="s">
        <v>755</v>
      </c>
      <c r="E353" s="126" t="s">
        <v>768</v>
      </c>
      <c r="F353" s="131">
        <v>238.08</v>
      </c>
      <c r="G353" s="127" t="s">
        <v>5</v>
      </c>
      <c r="H353" s="132">
        <v>15</v>
      </c>
      <c r="I353" s="132">
        <v>3571</v>
      </c>
      <c r="J353" s="135" t="s">
        <v>1019</v>
      </c>
    </row>
    <row r="354" spans="1:10" ht="15.75" thickBot="1">
      <c r="A354" s="122" t="s">
        <v>791</v>
      </c>
      <c r="B354" s="123" t="s">
        <v>1022</v>
      </c>
      <c r="C354" s="123" t="s">
        <v>769</v>
      </c>
      <c r="D354" s="123" t="s">
        <v>755</v>
      </c>
      <c r="E354" s="122" t="s">
        <v>770</v>
      </c>
      <c r="F354" s="130">
        <v>37263.26</v>
      </c>
      <c r="G354" s="123" t="s">
        <v>14</v>
      </c>
      <c r="H354" s="130">
        <v>0.66</v>
      </c>
      <c r="I354" s="139">
        <v>24594</v>
      </c>
      <c r="J354" s="134"/>
    </row>
    <row r="355" spans="1:10" s="126" customFormat="1" ht="13.5" thickBot="1">
      <c r="A355" s="126" t="s">
        <v>794</v>
      </c>
      <c r="B355" s="127" t="s">
        <v>1021</v>
      </c>
      <c r="C355" s="127">
        <v>371</v>
      </c>
      <c r="D355" s="127" t="s">
        <v>755</v>
      </c>
      <c r="E355" s="126" t="s">
        <v>187</v>
      </c>
      <c r="F355" s="132">
        <v>44715.91</v>
      </c>
      <c r="G355" s="127" t="s">
        <v>14</v>
      </c>
      <c r="H355" s="132">
        <v>0.55000000000000004</v>
      </c>
      <c r="I355" s="140">
        <v>24594</v>
      </c>
      <c r="J355" s="135" t="s">
        <v>1018</v>
      </c>
    </row>
    <row r="356" spans="1:10" ht="15.75" thickBot="1">
      <c r="A356" s="122" t="s">
        <v>826</v>
      </c>
      <c r="B356" s="123" t="s">
        <v>1022</v>
      </c>
      <c r="C356" s="123" t="s">
        <v>771</v>
      </c>
      <c r="D356" s="123" t="s">
        <v>755</v>
      </c>
      <c r="E356" s="122" t="s">
        <v>772</v>
      </c>
      <c r="F356" s="130">
        <v>745.27</v>
      </c>
      <c r="G356" s="123" t="s">
        <v>82</v>
      </c>
      <c r="H356" s="130">
        <v>25</v>
      </c>
      <c r="I356" s="139">
        <v>18632</v>
      </c>
      <c r="J356" s="134"/>
    </row>
    <row r="357" spans="1:10" s="126" customFormat="1" ht="13.5" thickBot="1">
      <c r="A357" s="126" t="s">
        <v>827</v>
      </c>
      <c r="B357" s="127" t="s">
        <v>1021</v>
      </c>
      <c r="C357" s="127" t="s">
        <v>773</v>
      </c>
      <c r="D357" s="127" t="s">
        <v>755</v>
      </c>
      <c r="E357" s="126" t="s">
        <v>774</v>
      </c>
      <c r="F357" s="132">
        <v>745.27</v>
      </c>
      <c r="G357" s="127" t="s">
        <v>82</v>
      </c>
      <c r="H357" s="132">
        <v>25</v>
      </c>
      <c r="I357" s="140">
        <v>18632</v>
      </c>
      <c r="J357" s="135" t="s">
        <v>1019</v>
      </c>
    </row>
    <row r="358" spans="1:10" ht="15.75" thickBot="1">
      <c r="A358" s="118">
        <v>-30</v>
      </c>
      <c r="B358" s="108" t="s">
        <v>1020</v>
      </c>
      <c r="C358" s="108">
        <v>31</v>
      </c>
      <c r="D358" s="108"/>
      <c r="E358" s="118" t="s">
        <v>775</v>
      </c>
      <c r="F358" s="129">
        <v>745.27</v>
      </c>
      <c r="G358" s="108" t="s">
        <v>776</v>
      </c>
      <c r="H358" s="129">
        <v>49.71</v>
      </c>
      <c r="I358" s="138">
        <v>37045</v>
      </c>
      <c r="J358" s="110"/>
    </row>
    <row r="359" spans="1:10" s="126" customFormat="1" ht="13.5" thickBot="1">
      <c r="A359" s="122" t="s">
        <v>663</v>
      </c>
      <c r="B359" s="123" t="s">
        <v>1022</v>
      </c>
      <c r="C359" s="123" t="s">
        <v>778</v>
      </c>
      <c r="D359" s="123" t="s">
        <v>775</v>
      </c>
      <c r="E359" s="122" t="s">
        <v>779</v>
      </c>
      <c r="F359" s="130">
        <v>119.24</v>
      </c>
      <c r="G359" s="123" t="s">
        <v>17</v>
      </c>
      <c r="H359" s="130">
        <v>6.09</v>
      </c>
      <c r="I359" s="139">
        <v>726</v>
      </c>
      <c r="J359" s="134"/>
    </row>
    <row r="360" spans="1:10" ht="15.75" thickBot="1">
      <c r="A360" s="126" t="s">
        <v>666</v>
      </c>
      <c r="B360" s="127" t="s">
        <v>1021</v>
      </c>
      <c r="C360" s="127">
        <v>6085</v>
      </c>
      <c r="D360" s="127" t="s">
        <v>775</v>
      </c>
      <c r="E360" s="126" t="s">
        <v>567</v>
      </c>
      <c r="F360" s="132">
        <v>119.24</v>
      </c>
      <c r="G360" s="127" t="s">
        <v>17</v>
      </c>
      <c r="H360" s="132">
        <v>6.09</v>
      </c>
      <c r="I360" s="140">
        <v>726</v>
      </c>
      <c r="J360" s="135" t="s">
        <v>1018</v>
      </c>
    </row>
    <row r="361" spans="1:10" s="126" customFormat="1" ht="13.5" thickBot="1">
      <c r="A361" s="122" t="s">
        <v>828</v>
      </c>
      <c r="B361" s="123" t="s">
        <v>1022</v>
      </c>
      <c r="C361" s="123" t="s">
        <v>782</v>
      </c>
      <c r="D361" s="123" t="s">
        <v>775</v>
      </c>
      <c r="E361" s="122" t="s">
        <v>783</v>
      </c>
      <c r="F361" s="130">
        <v>1444.32</v>
      </c>
      <c r="G361" s="123" t="s">
        <v>14</v>
      </c>
      <c r="H361" s="130">
        <v>7.86</v>
      </c>
      <c r="I361" s="139">
        <v>11352</v>
      </c>
      <c r="J361" s="134"/>
    </row>
    <row r="362" spans="1:10" ht="15.75" thickBot="1">
      <c r="A362" s="126" t="s">
        <v>829</v>
      </c>
      <c r="B362" s="127" t="s">
        <v>1021</v>
      </c>
      <c r="C362" s="127">
        <v>38877</v>
      </c>
      <c r="D362" s="127" t="s">
        <v>775</v>
      </c>
      <c r="E362" s="126" t="s">
        <v>572</v>
      </c>
      <c r="F362" s="132">
        <v>1444.32</v>
      </c>
      <c r="G362" s="127" t="s">
        <v>14</v>
      </c>
      <c r="H362" s="132">
        <v>7.86</v>
      </c>
      <c r="I362" s="140">
        <v>11352</v>
      </c>
      <c r="J362" s="135" t="s">
        <v>1018</v>
      </c>
    </row>
    <row r="363" spans="1:10" ht="15.75" thickBot="1">
      <c r="A363" s="122" t="s">
        <v>830</v>
      </c>
      <c r="B363" s="123" t="s">
        <v>1022</v>
      </c>
      <c r="C363" s="123" t="s">
        <v>786</v>
      </c>
      <c r="D363" s="123" t="s">
        <v>775</v>
      </c>
      <c r="E363" s="122" t="s">
        <v>787</v>
      </c>
      <c r="F363" s="130">
        <v>372.63</v>
      </c>
      <c r="G363" s="123" t="s">
        <v>17</v>
      </c>
      <c r="H363" s="130">
        <v>27</v>
      </c>
      <c r="I363" s="139">
        <v>10061</v>
      </c>
      <c r="J363" s="134"/>
    </row>
    <row r="364" spans="1:10" ht="15.75" thickBot="1">
      <c r="A364" s="126" t="s">
        <v>831</v>
      </c>
      <c r="B364" s="127" t="s">
        <v>1021</v>
      </c>
      <c r="C364" s="127" t="s">
        <v>789</v>
      </c>
      <c r="D364" s="127" t="s">
        <v>775</v>
      </c>
      <c r="E364" s="126" t="s">
        <v>790</v>
      </c>
      <c r="F364" s="132">
        <v>372.63</v>
      </c>
      <c r="G364" s="127" t="s">
        <v>17</v>
      </c>
      <c r="H364" s="132">
        <v>27</v>
      </c>
      <c r="I364" s="140">
        <v>10061</v>
      </c>
      <c r="J364" s="135" t="s">
        <v>1018</v>
      </c>
    </row>
    <row r="365" spans="1:10" ht="15.75" thickBot="1">
      <c r="A365" s="122" t="s">
        <v>832</v>
      </c>
      <c r="B365" s="123"/>
      <c r="C365" s="123" t="s">
        <v>792</v>
      </c>
      <c r="D365" s="123" t="s">
        <v>775</v>
      </c>
      <c r="E365" s="122" t="s">
        <v>793</v>
      </c>
      <c r="F365" s="130">
        <v>745.27</v>
      </c>
      <c r="G365" s="123" t="s">
        <v>776</v>
      </c>
      <c r="H365" s="130">
        <v>20</v>
      </c>
      <c r="I365" s="139">
        <v>14905</v>
      </c>
      <c r="J365" s="134"/>
    </row>
    <row r="366" spans="1:10">
      <c r="A366" s="126" t="s">
        <v>833</v>
      </c>
      <c r="B366" s="127" t="s">
        <v>1021</v>
      </c>
      <c r="C366" s="127" t="s">
        <v>795</v>
      </c>
      <c r="D366" s="127" t="s">
        <v>775</v>
      </c>
      <c r="E366" s="126" t="s">
        <v>796</v>
      </c>
      <c r="F366" s="132">
        <v>745.27</v>
      </c>
      <c r="G366" s="127" t="s">
        <v>82</v>
      </c>
      <c r="H366" s="132">
        <v>20</v>
      </c>
      <c r="I366" s="140">
        <v>14905</v>
      </c>
      <c r="J366" s="135" t="s">
        <v>1019</v>
      </c>
    </row>
    <row r="367" spans="1:10"/>
    <row r="368" spans="1:10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 spans="2:2"/>
    <row r="1048530" spans="2:2"/>
    <row r="1048531" spans="2:2"/>
    <row r="1048532" spans="2:2"/>
    <row r="1048533" spans="2:2"/>
    <row r="1048534" spans="2:2"/>
    <row r="1048535" spans="2:2"/>
    <row r="1048536" spans="2:2"/>
    <row r="1048537" spans="2:2"/>
    <row r="1048538" spans="2:2"/>
    <row r="1048539" spans="2:2" ht="15.75" thickBot="1"/>
    <row r="1048540" spans="2:2" ht="15.75" thickBot="1">
      <c r="B1048540" s="108"/>
    </row>
    <row r="1048541" spans="2:2"/>
    <row r="1048542" spans="2:2"/>
    <row r="1048543" spans="2:2"/>
    <row r="1048544" spans="2:2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autoFilter ref="A1:J1048540" xr:uid="{2D7740C0-F8F5-4867-A552-830F5661684E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0889C-4B2B-4810-9C8A-798695562CA9}">
  <dimension ref="A1:AH134"/>
  <sheetViews>
    <sheetView zoomScaleNormal="100" workbookViewId="0">
      <selection activeCell="J3" sqref="A3:J127"/>
    </sheetView>
  </sheetViews>
  <sheetFormatPr defaultRowHeight="15"/>
  <cols>
    <col min="1" max="1" width="9.42578125" style="1" customWidth="1"/>
    <col min="2" max="2" width="16.28515625" style="1" customWidth="1"/>
    <col min="3" max="3" width="11.85546875" style="1" customWidth="1"/>
    <col min="4" max="4" width="39.28515625" style="1" customWidth="1"/>
    <col min="5" max="5" width="30.42578125" style="1" customWidth="1"/>
    <col min="6" max="8" width="11.5703125" style="1" hidden="1" customWidth="1"/>
    <col min="9" max="9" width="12.85546875" style="45" customWidth="1"/>
    <col min="10" max="10" width="14.28515625" style="45" customWidth="1"/>
    <col min="11" max="11" width="14.28515625" style="47" hidden="1" customWidth="1"/>
    <col min="12" max="12" width="11.5703125" style="1" hidden="1" customWidth="1"/>
    <col min="13" max="13" width="18.140625" style="8" customWidth="1"/>
    <col min="14" max="14" width="18.5703125" style="8" hidden="1" customWidth="1"/>
    <col min="15" max="15" width="12.85546875" style="143" hidden="1" customWidth="1"/>
    <col min="16" max="16" width="13" hidden="1" customWidth="1"/>
    <col min="17" max="17" width="14" hidden="1" customWidth="1"/>
    <col min="18" max="18" width="9.140625" hidden="1" customWidth="1"/>
    <col min="19" max="19" width="20.28515625" style="35" hidden="1" customWidth="1"/>
    <col min="20" max="21" width="10.7109375" hidden="1" customWidth="1"/>
    <col min="22" max="22" width="11.5703125" style="1" hidden="1" customWidth="1"/>
    <col min="23" max="23" width="9.140625" hidden="1" customWidth="1"/>
    <col min="24" max="24" width="11.140625" style="1" hidden="1" customWidth="1"/>
    <col min="25" max="25" width="9.7109375" style="1" hidden="1" customWidth="1"/>
    <col min="26" max="27" width="9.140625" style="1" hidden="1" customWidth="1"/>
    <col min="28" max="28" width="9.140625" style="1" customWidth="1"/>
    <col min="29" max="29" width="9.140625" style="143" customWidth="1"/>
    <col min="30" max="31" width="16.42578125" style="143" customWidth="1"/>
    <col min="32" max="32" width="13.85546875" style="145" customWidth="1"/>
    <col min="33" max="33" width="14.28515625" style="145" customWidth="1"/>
    <col min="34" max="34" width="13.28515625" hidden="1" customWidth="1"/>
  </cols>
  <sheetData>
    <row r="1" spans="1:34" s="2" customFormat="1">
      <c r="F1" s="5" t="s">
        <v>837</v>
      </c>
      <c r="G1" s="5"/>
      <c r="H1" s="5"/>
      <c r="I1" s="49"/>
      <c r="J1" s="49"/>
      <c r="K1" s="46"/>
      <c r="L1" s="5"/>
      <c r="M1" s="7"/>
      <c r="N1" s="7"/>
      <c r="O1" s="179" t="s">
        <v>1513</v>
      </c>
      <c r="P1" s="10"/>
      <c r="Q1" s="10"/>
      <c r="R1" s="10"/>
      <c r="S1" s="182"/>
      <c r="T1" s="14" t="s">
        <v>838</v>
      </c>
      <c r="U1" s="14"/>
      <c r="V1" s="14"/>
      <c r="W1" s="14"/>
      <c r="X1" s="16" t="s">
        <v>839</v>
      </c>
      <c r="Y1" s="16"/>
      <c r="Z1" s="16"/>
      <c r="AA1" s="16"/>
      <c r="AB1" s="225" t="s">
        <v>1035</v>
      </c>
      <c r="AC1" s="225"/>
      <c r="AD1" s="225"/>
      <c r="AE1" s="225"/>
      <c r="AF1" s="226"/>
      <c r="AG1" s="226"/>
    </row>
    <row r="2" spans="1:34" s="2" customFormat="1" ht="15.75" thickBot="1">
      <c r="A2" s="19" t="s">
        <v>834</v>
      </c>
      <c r="B2" s="20" t="s">
        <v>965</v>
      </c>
      <c r="C2" s="19" t="s">
        <v>835</v>
      </c>
      <c r="D2" s="20" t="s">
        <v>966</v>
      </c>
      <c r="E2" s="19" t="s">
        <v>836</v>
      </c>
      <c r="F2" s="5" t="s">
        <v>840</v>
      </c>
      <c r="G2" s="5" t="s">
        <v>841</v>
      </c>
      <c r="H2" s="5" t="s">
        <v>842</v>
      </c>
      <c r="I2" s="49" t="s">
        <v>843</v>
      </c>
      <c r="J2" s="49" t="s">
        <v>844</v>
      </c>
      <c r="K2" s="52" t="s">
        <v>977</v>
      </c>
      <c r="L2" s="5" t="s">
        <v>845</v>
      </c>
      <c r="M2" s="7" t="s">
        <v>846</v>
      </c>
      <c r="N2" s="56" t="s">
        <v>968</v>
      </c>
      <c r="O2" s="179" t="s">
        <v>1006</v>
      </c>
      <c r="P2" s="10" t="s">
        <v>1003</v>
      </c>
      <c r="Q2" s="10" t="s">
        <v>1004</v>
      </c>
      <c r="R2" s="10" t="s">
        <v>1005</v>
      </c>
      <c r="S2" s="182" t="s">
        <v>998</v>
      </c>
      <c r="T2" s="14" t="s">
        <v>843</v>
      </c>
      <c r="U2" s="14" t="s">
        <v>844</v>
      </c>
      <c r="V2" s="14" t="s">
        <v>845</v>
      </c>
      <c r="W2" s="14" t="s">
        <v>846</v>
      </c>
      <c r="X2" s="16" t="s">
        <v>842</v>
      </c>
      <c r="Y2" s="16" t="s">
        <v>843</v>
      </c>
      <c r="Z2" s="16" t="s">
        <v>844</v>
      </c>
      <c r="AA2" s="16" t="s">
        <v>845</v>
      </c>
      <c r="AB2" s="186" t="s">
        <v>1039</v>
      </c>
      <c r="AC2" s="187" t="s">
        <v>1036</v>
      </c>
      <c r="AD2" s="187" t="s">
        <v>1038</v>
      </c>
      <c r="AE2" s="187" t="s">
        <v>1037</v>
      </c>
      <c r="AF2" s="188" t="s">
        <v>1040</v>
      </c>
      <c r="AG2" s="188" t="s">
        <v>1041</v>
      </c>
    </row>
    <row r="3" spans="1:34" ht="15.75" thickBot="1">
      <c r="A3" s="22">
        <v>-1</v>
      </c>
      <c r="B3" s="23" t="s">
        <v>966</v>
      </c>
      <c r="C3" s="24">
        <v>1</v>
      </c>
      <c r="D3" s="23"/>
      <c r="E3" s="24" t="s">
        <v>0</v>
      </c>
      <c r="F3" s="25">
        <v>74.739999999999995</v>
      </c>
      <c r="G3" s="25" t="s">
        <v>1</v>
      </c>
      <c r="H3" s="25">
        <v>0</v>
      </c>
      <c r="I3" s="51">
        <v>44424</v>
      </c>
      <c r="J3" s="51">
        <v>44428</v>
      </c>
      <c r="K3" s="53">
        <f>VLOOKUP(J3,SEMANAS!$B$1:$C$301,2,0)</f>
        <v>1</v>
      </c>
      <c r="L3" s="25">
        <v>5</v>
      </c>
      <c r="M3" s="26">
        <v>2720.5</v>
      </c>
      <c r="N3" s="57"/>
      <c r="O3" s="180">
        <v>1</v>
      </c>
      <c r="P3" s="27">
        <v>44449</v>
      </c>
      <c r="Q3" s="27">
        <v>44452</v>
      </c>
      <c r="R3" s="28">
        <v>2</v>
      </c>
      <c r="S3" s="183"/>
      <c r="T3" s="29">
        <v>44449</v>
      </c>
      <c r="U3" s="29">
        <v>44452</v>
      </c>
      <c r="V3" s="30">
        <v>2</v>
      </c>
      <c r="W3" s="31">
        <v>2720.5</v>
      </c>
      <c r="X3" s="32" t="s">
        <v>847</v>
      </c>
      <c r="Y3" s="32">
        <v>-25</v>
      </c>
      <c r="Z3" s="32">
        <v>-24</v>
      </c>
      <c r="AA3" s="33">
        <v>-1</v>
      </c>
      <c r="AB3" s="189"/>
      <c r="AC3" s="189"/>
      <c r="AD3" s="189"/>
      <c r="AE3" s="189"/>
      <c r="AF3" s="190"/>
      <c r="AG3" s="190"/>
    </row>
    <row r="4" spans="1:34" ht="15.75" thickBot="1">
      <c r="A4" s="18" t="s">
        <v>848</v>
      </c>
      <c r="B4" s="21" t="s">
        <v>967</v>
      </c>
      <c r="C4" s="18" t="s">
        <v>849</v>
      </c>
      <c r="D4" s="21" t="s">
        <v>0</v>
      </c>
      <c r="E4" s="18" t="s">
        <v>850</v>
      </c>
      <c r="F4" s="3">
        <v>74.739999999999995</v>
      </c>
      <c r="G4" s="3" t="s">
        <v>1</v>
      </c>
      <c r="H4" s="3">
        <v>0</v>
      </c>
      <c r="I4" s="50">
        <v>44424</v>
      </c>
      <c r="J4" s="50">
        <v>44428</v>
      </c>
      <c r="K4" s="54">
        <f>VLOOKUP(J4,SEMANAS!$B$1:$C$301,2,0)</f>
        <v>1</v>
      </c>
      <c r="L4" s="3">
        <v>5</v>
      </c>
      <c r="M4" s="6">
        <v>2720.5</v>
      </c>
      <c r="N4" s="58">
        <f>M4*H4</f>
        <v>0</v>
      </c>
      <c r="O4" s="181">
        <v>1</v>
      </c>
      <c r="P4" s="11">
        <v>44449</v>
      </c>
      <c r="Q4" s="11">
        <v>44452</v>
      </c>
      <c r="R4" s="9">
        <v>2</v>
      </c>
      <c r="S4" s="93">
        <f>O4*M4</f>
        <v>2720.5</v>
      </c>
      <c r="T4" s="15">
        <v>44449</v>
      </c>
      <c r="U4" s="15">
        <v>44452</v>
      </c>
      <c r="V4" s="13">
        <v>2</v>
      </c>
      <c r="W4" s="12">
        <v>2720.5</v>
      </c>
      <c r="X4" s="17" t="s">
        <v>847</v>
      </c>
      <c r="Y4" s="17">
        <v>-25</v>
      </c>
      <c r="Z4" s="17">
        <v>-24</v>
      </c>
      <c r="AA4" s="17">
        <v>-1</v>
      </c>
      <c r="AB4" s="191">
        <f>IFERROR(VLOOKUP(D4,MTMO!$A$5:$B$34,2,0),0)</f>
        <v>0.56523337008452779</v>
      </c>
      <c r="AC4" s="191">
        <f>IFERROR(VLOOKUP(D4,MTMO!$A$5:$C$34,3,0),0)</f>
        <v>0.43476662991547227</v>
      </c>
      <c r="AD4" s="192">
        <f>AB4*M4</f>
        <v>1537.7173833149579</v>
      </c>
      <c r="AE4" s="192">
        <f>AC4*M4</f>
        <v>1182.7826166850423</v>
      </c>
      <c r="AF4" s="193">
        <f>I4-15</f>
        <v>44409</v>
      </c>
      <c r="AG4" s="193">
        <f>J4+15</f>
        <v>44443</v>
      </c>
      <c r="AH4" s="35">
        <f>S4+S6</f>
        <v>11309.55</v>
      </c>
    </row>
    <row r="5" spans="1:34" ht="15.75" thickBot="1">
      <c r="A5" s="22">
        <v>-2</v>
      </c>
      <c r="B5" s="23" t="s">
        <v>966</v>
      </c>
      <c r="C5" s="24">
        <v>2</v>
      </c>
      <c r="D5" s="23"/>
      <c r="E5" s="24" t="s">
        <v>29</v>
      </c>
      <c r="F5" s="25">
        <v>1</v>
      </c>
      <c r="G5" s="25" t="s">
        <v>30</v>
      </c>
      <c r="H5" s="25">
        <v>0</v>
      </c>
      <c r="I5" s="51">
        <v>44431</v>
      </c>
      <c r="J5" s="51">
        <v>44445</v>
      </c>
      <c r="K5" s="55">
        <f>VLOOKUP(J5,SEMANAS!$B$1:$C$301,2,0)</f>
        <v>4</v>
      </c>
      <c r="L5" s="25">
        <v>10</v>
      </c>
      <c r="M5" s="26">
        <v>34356.199999999997</v>
      </c>
      <c r="N5" s="57"/>
      <c r="O5" s="180"/>
      <c r="P5" s="27"/>
      <c r="Q5" s="27"/>
      <c r="R5" s="28"/>
      <c r="S5" s="183"/>
      <c r="T5" s="29">
        <v>44453</v>
      </c>
      <c r="U5" s="29">
        <v>44467</v>
      </c>
      <c r="V5" s="30">
        <v>10</v>
      </c>
      <c r="W5" s="31">
        <v>34356.199999999997</v>
      </c>
      <c r="X5" s="32" t="s">
        <v>854</v>
      </c>
      <c r="Y5" s="32"/>
      <c r="Z5" s="32"/>
      <c r="AA5" s="33"/>
      <c r="AB5" s="189"/>
      <c r="AC5" s="189"/>
      <c r="AD5" s="189"/>
      <c r="AE5" s="189"/>
      <c r="AF5" s="190"/>
      <c r="AG5" s="190"/>
      <c r="AH5" s="184">
        <f>AH4/'peso tarefas'!B31</f>
        <v>7.3694802367893202E-3</v>
      </c>
    </row>
    <row r="6" spans="1:34" ht="15.75" thickBot="1">
      <c r="A6" s="18" t="s">
        <v>851</v>
      </c>
      <c r="B6" s="21" t="s">
        <v>967</v>
      </c>
      <c r="C6" s="18" t="s">
        <v>849</v>
      </c>
      <c r="D6" s="21" t="s">
        <v>29</v>
      </c>
      <c r="E6" s="18" t="s">
        <v>850</v>
      </c>
      <c r="F6" s="3">
        <v>1</v>
      </c>
      <c r="G6" s="3" t="s">
        <v>30</v>
      </c>
      <c r="H6" s="3">
        <v>0</v>
      </c>
      <c r="I6" s="50">
        <v>44431</v>
      </c>
      <c r="J6" s="50">
        <v>44445</v>
      </c>
      <c r="K6" s="54">
        <f>VLOOKUP(J6,SEMANAS!$B$1:$C$301,2,0)</f>
        <v>4</v>
      </c>
      <c r="L6" s="3">
        <v>10</v>
      </c>
      <c r="M6" s="6">
        <v>34356.199999999997</v>
      </c>
      <c r="N6" s="58">
        <f>M6*H6</f>
        <v>0</v>
      </c>
      <c r="O6" s="181">
        <v>0.25</v>
      </c>
      <c r="P6" s="11">
        <v>44453</v>
      </c>
      <c r="Q6" s="9"/>
      <c r="R6" s="9"/>
      <c r="S6" s="93">
        <f>O6*M6</f>
        <v>8589.0499999999993</v>
      </c>
      <c r="T6" s="15">
        <v>44453</v>
      </c>
      <c r="U6" s="15">
        <v>44467</v>
      </c>
      <c r="V6" s="13">
        <v>10</v>
      </c>
      <c r="W6" s="12">
        <v>34356.199999999997</v>
      </c>
      <c r="X6" s="17" t="s">
        <v>854</v>
      </c>
      <c r="Y6" s="17"/>
      <c r="Z6" s="17"/>
      <c r="AA6" s="17"/>
      <c r="AB6" s="191">
        <f>IFERROR(VLOOKUP(D6,MTMO!$A$5:$B$34,2,0),0)</f>
        <v>0.78946296026779217</v>
      </c>
      <c r="AC6" s="191">
        <f>IFERROR(VLOOKUP(D6,MTMO!$A$5:$C$34,3,0),0)</f>
        <v>0.21053703973220783</v>
      </c>
      <c r="AD6" s="192">
        <f>AB6*M6</f>
        <v>27122.947355552318</v>
      </c>
      <c r="AE6" s="192">
        <f>AC6*M6</f>
        <v>7233.252644447678</v>
      </c>
      <c r="AF6" s="193">
        <f>I6-15</f>
        <v>44416</v>
      </c>
      <c r="AG6" s="193">
        <f>J6+15</f>
        <v>44460</v>
      </c>
    </row>
    <row r="7" spans="1:34" ht="15.75" thickBot="1">
      <c r="A7" s="22">
        <v>-3</v>
      </c>
      <c r="B7" s="23" t="s">
        <v>966</v>
      </c>
      <c r="C7" s="24">
        <v>3</v>
      </c>
      <c r="D7" s="23"/>
      <c r="E7" s="24" t="s">
        <v>65</v>
      </c>
      <c r="F7" s="25">
        <v>36.229999999999997</v>
      </c>
      <c r="G7" s="25" t="s">
        <v>34</v>
      </c>
      <c r="H7" s="25">
        <v>0</v>
      </c>
      <c r="I7" s="51">
        <v>44445</v>
      </c>
      <c r="J7" s="51">
        <v>44452</v>
      </c>
      <c r="K7" s="55">
        <f>VLOOKUP(J7,SEMANAS!$B$1:$C$301,2,0)</f>
        <v>5</v>
      </c>
      <c r="L7" s="25">
        <v>5</v>
      </c>
      <c r="M7" s="26">
        <v>70046.7</v>
      </c>
      <c r="N7" s="57"/>
      <c r="O7" s="180"/>
      <c r="P7" s="27"/>
      <c r="Q7" s="27"/>
      <c r="R7" s="28"/>
      <c r="S7" s="183"/>
      <c r="T7" s="29">
        <v>44467</v>
      </c>
      <c r="U7" s="29">
        <v>44474</v>
      </c>
      <c r="V7" s="30">
        <v>5</v>
      </c>
      <c r="W7" s="31">
        <v>70046.7</v>
      </c>
      <c r="X7" s="32" t="s">
        <v>854</v>
      </c>
      <c r="Y7" s="32"/>
      <c r="Z7" s="32"/>
      <c r="AA7" s="33"/>
      <c r="AB7" s="189"/>
      <c r="AC7" s="189"/>
      <c r="AD7" s="189"/>
      <c r="AE7" s="189"/>
      <c r="AF7" s="190"/>
      <c r="AG7" s="190"/>
    </row>
    <row r="8" spans="1:34" ht="15.75" thickBot="1">
      <c r="A8" s="18" t="s">
        <v>852</v>
      </c>
      <c r="B8" s="21" t="s">
        <v>967</v>
      </c>
      <c r="C8" s="18" t="s">
        <v>849</v>
      </c>
      <c r="D8" s="21" t="s">
        <v>65</v>
      </c>
      <c r="E8" s="18" t="s">
        <v>850</v>
      </c>
      <c r="F8" s="3">
        <v>36.229999999999997</v>
      </c>
      <c r="G8" s="3" t="s">
        <v>34</v>
      </c>
      <c r="H8" s="3">
        <v>0</v>
      </c>
      <c r="I8" s="50">
        <v>44445</v>
      </c>
      <c r="J8" s="50">
        <v>44452</v>
      </c>
      <c r="K8" s="54">
        <f>VLOOKUP(J8,SEMANAS!$B$1:$C$301,2,0)</f>
        <v>5</v>
      </c>
      <c r="L8" s="3">
        <v>5</v>
      </c>
      <c r="M8" s="6">
        <v>70046.7</v>
      </c>
      <c r="N8" s="58">
        <f>M8*H8</f>
        <v>0</v>
      </c>
      <c r="O8" s="181"/>
      <c r="P8" s="11"/>
      <c r="Q8" s="9"/>
      <c r="R8" s="9"/>
      <c r="S8" s="93">
        <f>O8*M8</f>
        <v>0</v>
      </c>
      <c r="T8" s="15">
        <v>44467</v>
      </c>
      <c r="U8" s="15">
        <v>44474</v>
      </c>
      <c r="V8" s="13">
        <v>5</v>
      </c>
      <c r="W8" s="12">
        <v>70046.7</v>
      </c>
      <c r="X8" s="17" t="s">
        <v>854</v>
      </c>
      <c r="Y8" s="17"/>
      <c r="Z8" s="17"/>
      <c r="AA8" s="17"/>
      <c r="AB8" s="191">
        <f>IFERROR(VLOOKUP(D8,MTMO!$A$5:$B$34,2,0),0)</f>
        <v>0.25730234417382863</v>
      </c>
      <c r="AC8" s="191">
        <f>IFERROR(VLOOKUP(D8,MTMO!$A$5:$C$34,3,0),0)</f>
        <v>0.74269765582617142</v>
      </c>
      <c r="AD8" s="192">
        <f>AB8*M8</f>
        <v>18023.180111640922</v>
      </c>
      <c r="AE8" s="192">
        <f>AC8*M8</f>
        <v>52023.519888359078</v>
      </c>
      <c r="AF8" s="193">
        <f>I8-15</f>
        <v>44430</v>
      </c>
      <c r="AG8" s="193">
        <f>J8+15</f>
        <v>44467</v>
      </c>
    </row>
    <row r="9" spans="1:34" ht="15.75" thickBot="1">
      <c r="A9" s="22">
        <v>-4</v>
      </c>
      <c r="B9" s="23" t="s">
        <v>966</v>
      </c>
      <c r="C9" s="24">
        <v>4</v>
      </c>
      <c r="D9" s="23"/>
      <c r="E9" s="24" t="s">
        <v>118</v>
      </c>
      <c r="F9" s="25">
        <v>2</v>
      </c>
      <c r="G9" s="25" t="s">
        <v>30</v>
      </c>
      <c r="H9" s="25">
        <v>0</v>
      </c>
      <c r="I9" s="51">
        <v>44452</v>
      </c>
      <c r="J9" s="51">
        <v>44459</v>
      </c>
      <c r="K9" s="55">
        <f>VLOOKUP(J9,SEMANAS!$B$1:$C$301,2,0)</f>
        <v>6</v>
      </c>
      <c r="L9" s="25">
        <v>5</v>
      </c>
      <c r="M9" s="26">
        <v>350</v>
      </c>
      <c r="N9" s="57"/>
      <c r="O9" s="180"/>
      <c r="P9" s="27"/>
      <c r="Q9" s="27"/>
      <c r="R9" s="28"/>
      <c r="S9" s="183"/>
      <c r="T9" s="29">
        <v>44474</v>
      </c>
      <c r="U9" s="29">
        <v>44482</v>
      </c>
      <c r="V9" s="30">
        <v>5</v>
      </c>
      <c r="W9" s="31">
        <v>350</v>
      </c>
      <c r="X9" s="32" t="s">
        <v>854</v>
      </c>
      <c r="Y9" s="32"/>
      <c r="Z9" s="32"/>
      <c r="AA9" s="33"/>
      <c r="AB9" s="189"/>
      <c r="AC9" s="189"/>
      <c r="AD9" s="189"/>
      <c r="AE9" s="189"/>
      <c r="AF9" s="190"/>
      <c r="AG9" s="190"/>
    </row>
    <row r="10" spans="1:34" ht="15.75" thickBot="1">
      <c r="A10" s="18" t="s">
        <v>853</v>
      </c>
      <c r="B10" s="21" t="s">
        <v>967</v>
      </c>
      <c r="C10" s="18" t="s">
        <v>849</v>
      </c>
      <c r="D10" s="21" t="s">
        <v>118</v>
      </c>
      <c r="E10" s="18" t="s">
        <v>850</v>
      </c>
      <c r="F10" s="3">
        <v>2</v>
      </c>
      <c r="G10" s="3" t="s">
        <v>30</v>
      </c>
      <c r="H10" s="3">
        <v>0</v>
      </c>
      <c r="I10" s="50">
        <v>44452</v>
      </c>
      <c r="J10" s="50">
        <v>44459</v>
      </c>
      <c r="K10" s="54">
        <f>VLOOKUP(J10,SEMANAS!$B$1:$C$301,2,0)</f>
        <v>6</v>
      </c>
      <c r="L10" s="3">
        <v>5</v>
      </c>
      <c r="M10" s="6">
        <v>350</v>
      </c>
      <c r="N10" s="58">
        <f>M10*H10</f>
        <v>0</v>
      </c>
      <c r="O10" s="181"/>
      <c r="P10" s="11"/>
      <c r="Q10" s="9"/>
      <c r="R10" s="9"/>
      <c r="S10" s="93">
        <f>O10*M10</f>
        <v>0</v>
      </c>
      <c r="T10" s="15">
        <v>44474</v>
      </c>
      <c r="U10" s="15">
        <v>44482</v>
      </c>
      <c r="V10" s="13">
        <v>5</v>
      </c>
      <c r="W10" s="12">
        <v>350</v>
      </c>
      <c r="X10" s="17" t="s">
        <v>854</v>
      </c>
      <c r="Y10" s="17"/>
      <c r="Z10" s="17"/>
      <c r="AA10" s="17"/>
      <c r="AB10" s="191">
        <f>IFERROR(VLOOKUP(D10,MTMO!$A$5:$B$34,2,0),0)</f>
        <v>1</v>
      </c>
      <c r="AC10" s="191">
        <f>IFERROR(VLOOKUP(D10,MTMO!$A$5:$C$34,3,0),0)</f>
        <v>0</v>
      </c>
      <c r="AD10" s="192">
        <f>AB10*M10</f>
        <v>350</v>
      </c>
      <c r="AE10" s="192">
        <f>AC10*M10</f>
        <v>0</v>
      </c>
      <c r="AF10" s="193">
        <f>I10-15</f>
        <v>44437</v>
      </c>
      <c r="AG10" s="193">
        <f>J10+15</f>
        <v>44474</v>
      </c>
    </row>
    <row r="11" spans="1:34" ht="15.75" thickBot="1">
      <c r="A11" s="22">
        <v>-5</v>
      </c>
      <c r="B11" s="23" t="s">
        <v>966</v>
      </c>
      <c r="C11" s="24">
        <v>5</v>
      </c>
      <c r="D11" s="23"/>
      <c r="E11" s="24" t="s">
        <v>131</v>
      </c>
      <c r="F11" s="25">
        <v>456.3</v>
      </c>
      <c r="G11" s="25" t="s">
        <v>82</v>
      </c>
      <c r="H11" s="25">
        <v>0</v>
      </c>
      <c r="I11" s="51">
        <v>44459</v>
      </c>
      <c r="J11" s="51">
        <v>44466</v>
      </c>
      <c r="K11" s="55">
        <f>VLOOKUP(J11,SEMANAS!$B$1:$C$301,2,0)</f>
        <v>7</v>
      </c>
      <c r="L11" s="25">
        <v>5</v>
      </c>
      <c r="M11" s="26">
        <v>34912.199999999997</v>
      </c>
      <c r="N11" s="57"/>
      <c r="O11" s="180"/>
      <c r="P11" s="27"/>
      <c r="Q11" s="27"/>
      <c r="R11" s="28"/>
      <c r="S11" s="183"/>
      <c r="T11" s="29">
        <v>44482</v>
      </c>
      <c r="U11" s="29">
        <v>44489</v>
      </c>
      <c r="V11" s="30">
        <v>5</v>
      </c>
      <c r="W11" s="31">
        <v>34912.199999999997</v>
      </c>
      <c r="X11" s="32" t="s">
        <v>854</v>
      </c>
      <c r="Y11" s="32"/>
      <c r="Z11" s="32"/>
      <c r="AA11" s="33"/>
      <c r="AB11" s="189"/>
      <c r="AC11" s="189"/>
      <c r="AD11" s="189"/>
      <c r="AE11" s="189"/>
      <c r="AF11" s="190"/>
      <c r="AG11" s="190"/>
    </row>
    <row r="12" spans="1:34" ht="15.75" thickBot="1">
      <c r="A12" s="18" t="s">
        <v>855</v>
      </c>
      <c r="B12" s="21" t="s">
        <v>967</v>
      </c>
      <c r="C12" s="18" t="s">
        <v>849</v>
      </c>
      <c r="D12" s="21" t="s">
        <v>131</v>
      </c>
      <c r="E12" s="18" t="s">
        <v>850</v>
      </c>
      <c r="F12" s="3">
        <v>456.3</v>
      </c>
      <c r="G12" s="3" t="s">
        <v>82</v>
      </c>
      <c r="H12" s="3">
        <v>0</v>
      </c>
      <c r="I12" s="50">
        <v>44459</v>
      </c>
      <c r="J12" s="50">
        <v>44466</v>
      </c>
      <c r="K12" s="54">
        <f>VLOOKUP(J12,SEMANAS!$B$1:$C$301,2,0)</f>
        <v>7</v>
      </c>
      <c r="L12" s="3">
        <v>5</v>
      </c>
      <c r="M12" s="6">
        <v>34912.199999999997</v>
      </c>
      <c r="N12" s="58">
        <f>M12*H12</f>
        <v>0</v>
      </c>
      <c r="O12" s="181"/>
      <c r="P12" s="11"/>
      <c r="Q12" s="9"/>
      <c r="R12" s="9"/>
      <c r="S12" s="93">
        <f>O12*M12</f>
        <v>0</v>
      </c>
      <c r="T12" s="15">
        <v>44482</v>
      </c>
      <c r="U12" s="15">
        <v>44489</v>
      </c>
      <c r="V12" s="13">
        <v>5</v>
      </c>
      <c r="W12" s="12">
        <v>34912.199999999997</v>
      </c>
      <c r="X12" s="17" t="s">
        <v>854</v>
      </c>
      <c r="Y12" s="17"/>
      <c r="Z12" s="17"/>
      <c r="AA12" s="17"/>
      <c r="AB12" s="191">
        <f>IFERROR(VLOOKUP(D12,MTMO!$A$5:$B$34,2,0),0)</f>
        <v>0.54167046916318939</v>
      </c>
      <c r="AC12" s="191">
        <f>IFERROR(VLOOKUP(D12,MTMO!$A$5:$C$34,3,0),0)</f>
        <v>0.45832953083681055</v>
      </c>
      <c r="AD12" s="192">
        <f>AB12*M12</f>
        <v>18910.907753519099</v>
      </c>
      <c r="AE12" s="192">
        <f>AC12*M12</f>
        <v>16001.292246480896</v>
      </c>
      <c r="AF12" s="193">
        <f>I12-15</f>
        <v>44444</v>
      </c>
      <c r="AG12" s="193">
        <f>J12+15</f>
        <v>44481</v>
      </c>
    </row>
    <row r="13" spans="1:34" ht="15.75" thickBot="1">
      <c r="A13" s="22">
        <v>-6</v>
      </c>
      <c r="B13" s="23" t="s">
        <v>966</v>
      </c>
      <c r="C13" s="24">
        <v>6</v>
      </c>
      <c r="D13" s="23"/>
      <c r="E13" s="24" t="s">
        <v>167</v>
      </c>
      <c r="F13" s="25">
        <v>1684.46</v>
      </c>
      <c r="G13" s="25" t="s">
        <v>34</v>
      </c>
      <c r="H13" s="25">
        <v>0</v>
      </c>
      <c r="I13" s="51">
        <v>44466</v>
      </c>
      <c r="J13" s="51">
        <v>44533</v>
      </c>
      <c r="K13" s="55">
        <f>VLOOKUP(J13,SEMANAS!$B$1:$C$301,2,0)</f>
        <v>16</v>
      </c>
      <c r="L13" s="25">
        <v>25</v>
      </c>
      <c r="M13" s="26">
        <v>407381.7</v>
      </c>
      <c r="N13" s="57"/>
      <c r="O13" s="180"/>
      <c r="P13" s="27"/>
      <c r="Q13" s="27"/>
      <c r="R13" s="28"/>
      <c r="S13" s="183"/>
      <c r="T13" s="29">
        <v>44489</v>
      </c>
      <c r="U13" s="29">
        <v>44557</v>
      </c>
      <c r="V13" s="30">
        <v>25</v>
      </c>
      <c r="W13" s="31">
        <v>407381.7</v>
      </c>
      <c r="X13" s="32" t="s">
        <v>854</v>
      </c>
      <c r="Y13" s="32"/>
      <c r="Z13" s="32"/>
      <c r="AA13" s="33"/>
      <c r="AB13" s="189"/>
      <c r="AC13" s="189"/>
      <c r="AD13" s="189"/>
      <c r="AE13" s="189"/>
      <c r="AF13" s="190"/>
      <c r="AG13" s="190"/>
    </row>
    <row r="14" spans="1:34">
      <c r="A14" s="18" t="s">
        <v>868</v>
      </c>
      <c r="B14" s="21" t="s">
        <v>967</v>
      </c>
      <c r="C14" s="18" t="s">
        <v>869</v>
      </c>
      <c r="D14" s="21" t="s">
        <v>167</v>
      </c>
      <c r="E14" s="18" t="s">
        <v>870</v>
      </c>
      <c r="F14" s="3">
        <v>83.84</v>
      </c>
      <c r="G14" s="3" t="s">
        <v>34</v>
      </c>
      <c r="H14" s="3">
        <v>0</v>
      </c>
      <c r="I14" s="50">
        <v>44526</v>
      </c>
      <c r="J14" s="50">
        <v>44533</v>
      </c>
      <c r="K14" s="54">
        <f>VLOOKUP(J14,SEMANAS!$B$1:$C$301,2,0)</f>
        <v>16</v>
      </c>
      <c r="L14" s="3">
        <v>5</v>
      </c>
      <c r="M14" s="6">
        <v>19719.7</v>
      </c>
      <c r="N14" s="58">
        <f>M14*H14</f>
        <v>0</v>
      </c>
      <c r="O14" s="181"/>
      <c r="P14" s="11"/>
      <c r="Q14" s="9"/>
      <c r="R14" s="9"/>
      <c r="S14" s="93">
        <f>O14*M14</f>
        <v>0</v>
      </c>
      <c r="T14" s="15">
        <v>44550</v>
      </c>
      <c r="U14" s="15">
        <v>44557</v>
      </c>
      <c r="V14" s="13">
        <v>5</v>
      </c>
      <c r="W14" s="12">
        <v>19719.7</v>
      </c>
      <c r="X14" s="17" t="s">
        <v>854</v>
      </c>
      <c r="Y14" s="17"/>
      <c r="Z14" s="17"/>
      <c r="AA14" s="17"/>
      <c r="AB14" s="191">
        <f>IFERROR(VLOOKUP(D14,MTMO!$A$5:$B$34,2,0),0)</f>
        <v>0.13858702989570013</v>
      </c>
      <c r="AC14" s="191">
        <f>IFERROR(VLOOKUP(D14,MTMO!$A$5:$C$34,3,0),0)</f>
        <v>0.86141297010429985</v>
      </c>
      <c r="AD14" s="192">
        <f>AB14*M14</f>
        <v>2732.8946534342381</v>
      </c>
      <c r="AE14" s="192">
        <f>AC14*M14</f>
        <v>16986.805346565761</v>
      </c>
      <c r="AF14" s="193">
        <f>I14-15</f>
        <v>44511</v>
      </c>
      <c r="AG14" s="193">
        <f>J14+15</f>
        <v>44548</v>
      </c>
    </row>
    <row r="15" spans="1:34">
      <c r="A15" s="18" t="s">
        <v>856</v>
      </c>
      <c r="B15" s="21" t="s">
        <v>967</v>
      </c>
      <c r="C15" s="18" t="s">
        <v>857</v>
      </c>
      <c r="D15" s="21" t="s">
        <v>167</v>
      </c>
      <c r="E15" s="18" t="s">
        <v>858</v>
      </c>
      <c r="F15" s="3">
        <v>399.29</v>
      </c>
      <c r="G15" s="3" t="s">
        <v>34</v>
      </c>
      <c r="H15" s="3">
        <v>0</v>
      </c>
      <c r="I15" s="50">
        <v>44466</v>
      </c>
      <c r="J15" s="50">
        <v>44473</v>
      </c>
      <c r="K15" s="54">
        <f>VLOOKUP(J15,SEMANAS!$B$1:$C$301,2,0)</f>
        <v>8</v>
      </c>
      <c r="L15" s="3">
        <v>5</v>
      </c>
      <c r="M15" s="6">
        <v>96711</v>
      </c>
      <c r="N15" s="58">
        <f>M15*H15</f>
        <v>0</v>
      </c>
      <c r="O15" s="181"/>
      <c r="P15" s="11"/>
      <c r="Q15" s="9"/>
      <c r="R15" s="9"/>
      <c r="S15" s="93">
        <f>O15*M15</f>
        <v>0</v>
      </c>
      <c r="T15" s="15">
        <v>44489</v>
      </c>
      <c r="U15" s="15">
        <v>44496</v>
      </c>
      <c r="V15" s="13">
        <v>5</v>
      </c>
      <c r="W15" s="12">
        <v>96711</v>
      </c>
      <c r="X15" s="17" t="s">
        <v>854</v>
      </c>
      <c r="Y15" s="17"/>
      <c r="Z15" s="17"/>
      <c r="AA15" s="17"/>
      <c r="AB15" s="191">
        <f>IFERROR(VLOOKUP(D15,MTMO!$A$5:$B$34,2,0),0)</f>
        <v>0.13858702989570013</v>
      </c>
      <c r="AC15" s="191">
        <f>IFERROR(VLOOKUP(D15,MTMO!$A$5:$C$34,3,0),0)</f>
        <v>0.86141297010429985</v>
      </c>
      <c r="AD15" s="192">
        <f>AB15*M15</f>
        <v>13402.890248243055</v>
      </c>
      <c r="AE15" s="192">
        <f>AC15*M15</f>
        <v>83308.109751756943</v>
      </c>
      <c r="AF15" s="193">
        <f>I15-15</f>
        <v>44451</v>
      </c>
      <c r="AG15" s="193">
        <f>J15+15</f>
        <v>44488</v>
      </c>
    </row>
    <row r="16" spans="1:34">
      <c r="A16" s="18" t="s">
        <v>859</v>
      </c>
      <c r="B16" s="21" t="s">
        <v>967</v>
      </c>
      <c r="C16" s="18" t="s">
        <v>860</v>
      </c>
      <c r="D16" s="21" t="s">
        <v>167</v>
      </c>
      <c r="E16" s="18" t="s">
        <v>861</v>
      </c>
      <c r="F16" s="3">
        <v>400.44</v>
      </c>
      <c r="G16" s="3" t="s">
        <v>34</v>
      </c>
      <c r="H16" s="3">
        <v>0</v>
      </c>
      <c r="I16" s="50">
        <v>44481</v>
      </c>
      <c r="J16" s="50">
        <v>44488</v>
      </c>
      <c r="K16" s="54">
        <f>VLOOKUP(J16,SEMANAS!$B$1:$C$301,2,0)</f>
        <v>10</v>
      </c>
      <c r="L16" s="3">
        <v>5</v>
      </c>
      <c r="M16" s="6">
        <v>96983.7</v>
      </c>
      <c r="N16" s="58">
        <f>M16*H16</f>
        <v>0</v>
      </c>
      <c r="O16" s="181"/>
      <c r="P16" s="11"/>
      <c r="Q16" s="9"/>
      <c r="R16" s="9"/>
      <c r="S16" s="93">
        <f>O16*M16</f>
        <v>0</v>
      </c>
      <c r="T16" s="15">
        <v>44504</v>
      </c>
      <c r="U16" s="15">
        <v>44512</v>
      </c>
      <c r="V16" s="13">
        <v>5</v>
      </c>
      <c r="W16" s="12">
        <v>96983.7</v>
      </c>
      <c r="X16" s="17" t="s">
        <v>854</v>
      </c>
      <c r="Y16" s="17"/>
      <c r="Z16" s="17"/>
      <c r="AA16" s="17"/>
      <c r="AB16" s="191">
        <f>IFERROR(VLOOKUP(D16,MTMO!$A$5:$B$34,2,0),0)</f>
        <v>0.13858702989570013</v>
      </c>
      <c r="AC16" s="191">
        <f>IFERROR(VLOOKUP(D16,MTMO!$A$5:$C$34,3,0),0)</f>
        <v>0.86141297010429985</v>
      </c>
      <c r="AD16" s="192">
        <f>AB16*M16</f>
        <v>13440.682931295612</v>
      </c>
      <c r="AE16" s="192">
        <f>AC16*M16</f>
        <v>83543.017068704386</v>
      </c>
      <c r="AF16" s="193">
        <f>I16-15</f>
        <v>44466</v>
      </c>
      <c r="AG16" s="193">
        <f>J16+15</f>
        <v>44503</v>
      </c>
    </row>
    <row r="17" spans="1:33">
      <c r="A17" s="18" t="s">
        <v>862</v>
      </c>
      <c r="B17" s="21" t="s">
        <v>967</v>
      </c>
      <c r="C17" s="18" t="s">
        <v>863</v>
      </c>
      <c r="D17" s="21" t="s">
        <v>167</v>
      </c>
      <c r="E17" s="18" t="s">
        <v>864</v>
      </c>
      <c r="F17" s="3">
        <v>400.44</v>
      </c>
      <c r="G17" s="3" t="s">
        <v>34</v>
      </c>
      <c r="H17" s="3">
        <v>0</v>
      </c>
      <c r="I17" s="50">
        <v>44495</v>
      </c>
      <c r="J17" s="50">
        <v>44503</v>
      </c>
      <c r="K17" s="54">
        <f>VLOOKUP(J17,SEMANAS!$B$1:$C$301,2,0)</f>
        <v>12</v>
      </c>
      <c r="L17" s="3">
        <v>5</v>
      </c>
      <c r="M17" s="6">
        <v>96983.7</v>
      </c>
      <c r="N17" s="58">
        <f>M17*H17</f>
        <v>0</v>
      </c>
      <c r="O17" s="181"/>
      <c r="P17" s="11"/>
      <c r="Q17" s="9"/>
      <c r="R17" s="9"/>
      <c r="S17" s="93">
        <f>O17*M17</f>
        <v>0</v>
      </c>
      <c r="T17" s="15">
        <v>44519</v>
      </c>
      <c r="U17" s="15">
        <v>44529</v>
      </c>
      <c r="V17" s="13">
        <v>5</v>
      </c>
      <c r="W17" s="12">
        <v>96983.7</v>
      </c>
      <c r="X17" s="17" t="s">
        <v>854</v>
      </c>
      <c r="Y17" s="17"/>
      <c r="Z17" s="17"/>
      <c r="AA17" s="17"/>
      <c r="AB17" s="191">
        <f>IFERROR(VLOOKUP(D17,MTMO!$A$5:$B$34,2,0),0)</f>
        <v>0.13858702989570013</v>
      </c>
      <c r="AC17" s="191">
        <f>IFERROR(VLOOKUP(D17,MTMO!$A$5:$C$34,3,0),0)</f>
        <v>0.86141297010429985</v>
      </c>
      <c r="AD17" s="192">
        <f>AB17*M17</f>
        <v>13440.682931295612</v>
      </c>
      <c r="AE17" s="192">
        <f>AC17*M17</f>
        <v>83543.017068704386</v>
      </c>
      <c r="AF17" s="193">
        <f>I17-15</f>
        <v>44480</v>
      </c>
      <c r="AG17" s="193">
        <f>J17+15</f>
        <v>44518</v>
      </c>
    </row>
    <row r="18" spans="1:33" ht="15.75" thickBot="1">
      <c r="A18" s="18" t="s">
        <v>865</v>
      </c>
      <c r="B18" s="21" t="s">
        <v>967</v>
      </c>
      <c r="C18" s="18" t="s">
        <v>866</v>
      </c>
      <c r="D18" s="21" t="s">
        <v>167</v>
      </c>
      <c r="E18" s="18" t="s">
        <v>867</v>
      </c>
      <c r="F18" s="3">
        <v>400.44</v>
      </c>
      <c r="G18" s="3" t="s">
        <v>34</v>
      </c>
      <c r="H18" s="3">
        <v>0</v>
      </c>
      <c r="I18" s="50">
        <v>44510</v>
      </c>
      <c r="J18" s="50">
        <v>44518</v>
      </c>
      <c r="K18" s="54">
        <f>VLOOKUP(J18,SEMANAS!$B$1:$C$301,2,0)</f>
        <v>14</v>
      </c>
      <c r="L18" s="3">
        <v>5</v>
      </c>
      <c r="M18" s="6">
        <v>96983.7</v>
      </c>
      <c r="N18" s="58">
        <f>M18*H18</f>
        <v>0</v>
      </c>
      <c r="O18" s="181"/>
      <c r="P18" s="11"/>
      <c r="Q18" s="9"/>
      <c r="R18" s="9"/>
      <c r="S18" s="93">
        <f>O18*M18</f>
        <v>0</v>
      </c>
      <c r="T18" s="15">
        <v>44536</v>
      </c>
      <c r="U18" s="15">
        <v>44543</v>
      </c>
      <c r="V18" s="13">
        <v>5</v>
      </c>
      <c r="W18" s="12">
        <v>96983.7</v>
      </c>
      <c r="X18" s="17" t="s">
        <v>854</v>
      </c>
      <c r="Y18" s="17"/>
      <c r="Z18" s="17"/>
      <c r="AA18" s="17"/>
      <c r="AB18" s="191">
        <f>IFERROR(VLOOKUP(D18,MTMO!$A$5:$B$34,2,0),0)</f>
        <v>0.13858702989570013</v>
      </c>
      <c r="AC18" s="191">
        <f>IFERROR(VLOOKUP(D18,MTMO!$A$5:$C$34,3,0),0)</f>
        <v>0.86141297010429985</v>
      </c>
      <c r="AD18" s="192">
        <f>AB18*M18</f>
        <v>13440.682931295612</v>
      </c>
      <c r="AE18" s="192">
        <f>AC18*M18</f>
        <v>83543.017068704386</v>
      </c>
      <c r="AF18" s="193">
        <f>I18-15</f>
        <v>44495</v>
      </c>
      <c r="AG18" s="193">
        <f>J18+15</f>
        <v>44533</v>
      </c>
    </row>
    <row r="19" spans="1:33" ht="15.75" thickBot="1">
      <c r="A19" s="22">
        <v>-7</v>
      </c>
      <c r="B19" s="23" t="s">
        <v>966</v>
      </c>
      <c r="C19" s="24">
        <v>7</v>
      </c>
      <c r="D19" s="23"/>
      <c r="E19" s="24" t="s">
        <v>217</v>
      </c>
      <c r="F19" s="25">
        <v>219.93</v>
      </c>
      <c r="G19" s="25" t="s">
        <v>34</v>
      </c>
      <c r="H19" s="25">
        <v>0</v>
      </c>
      <c r="I19" s="51">
        <v>44473</v>
      </c>
      <c r="J19" s="51">
        <v>44526</v>
      </c>
      <c r="K19" s="55">
        <f>VLOOKUP(J19,SEMANAS!$B$1:$C$301,2,0)</f>
        <v>15</v>
      </c>
      <c r="L19" s="25">
        <v>20</v>
      </c>
      <c r="M19" s="26">
        <v>262864.09999999998</v>
      </c>
      <c r="N19" s="57"/>
      <c r="O19" s="180"/>
      <c r="P19" s="27"/>
      <c r="Q19" s="27"/>
      <c r="R19" s="28"/>
      <c r="S19" s="183"/>
      <c r="T19" s="29">
        <v>44496</v>
      </c>
      <c r="U19" s="29">
        <v>44550</v>
      </c>
      <c r="V19" s="30">
        <v>20</v>
      </c>
      <c r="W19" s="31">
        <v>262864.09999999998</v>
      </c>
      <c r="X19" s="32" t="s">
        <v>854</v>
      </c>
      <c r="Y19" s="32"/>
      <c r="Z19" s="32"/>
      <c r="AA19" s="33"/>
      <c r="AB19" s="189"/>
      <c r="AC19" s="189"/>
      <c r="AD19" s="189"/>
      <c r="AE19" s="189"/>
      <c r="AF19" s="190"/>
      <c r="AG19" s="190"/>
    </row>
    <row r="20" spans="1:33">
      <c r="A20" s="18" t="s">
        <v>871</v>
      </c>
      <c r="B20" s="21" t="s">
        <v>967</v>
      </c>
      <c r="C20" s="18" t="s">
        <v>857</v>
      </c>
      <c r="D20" s="21" t="s">
        <v>217</v>
      </c>
      <c r="E20" s="18" t="s">
        <v>858</v>
      </c>
      <c r="F20" s="3">
        <v>55.49</v>
      </c>
      <c r="G20" s="3" t="s">
        <v>34</v>
      </c>
      <c r="H20" s="3">
        <v>0</v>
      </c>
      <c r="I20" s="50">
        <v>44473</v>
      </c>
      <c r="J20" s="50">
        <v>44481</v>
      </c>
      <c r="K20" s="54">
        <f>VLOOKUP(J20,SEMANAS!$B$1:$C$301,2,0)</f>
        <v>9</v>
      </c>
      <c r="L20" s="3">
        <v>5</v>
      </c>
      <c r="M20" s="6">
        <v>66451</v>
      </c>
      <c r="N20" s="58">
        <f>M20*H20</f>
        <v>0</v>
      </c>
      <c r="O20" s="181"/>
      <c r="P20" s="11"/>
      <c r="Q20" s="9"/>
      <c r="R20" s="9"/>
      <c r="S20" s="93">
        <f>O20*M20</f>
        <v>0</v>
      </c>
      <c r="T20" s="15">
        <v>44496</v>
      </c>
      <c r="U20" s="15">
        <v>44504</v>
      </c>
      <c r="V20" s="13">
        <v>5</v>
      </c>
      <c r="W20" s="12">
        <v>66451</v>
      </c>
      <c r="X20" s="17" t="s">
        <v>854</v>
      </c>
      <c r="Y20" s="17"/>
      <c r="Z20" s="17"/>
      <c r="AA20" s="17"/>
      <c r="AB20" s="191">
        <f>IFERROR(VLOOKUP(D20,MTMO!$A$5:$B$34,2,0),0)</f>
        <v>0.38396280966583479</v>
      </c>
      <c r="AC20" s="191">
        <f>IFERROR(VLOOKUP(D20,MTMO!$A$5:$C$34,3,0),0)</f>
        <v>0.61603719033416515</v>
      </c>
      <c r="AD20" s="192">
        <f>AB20*M20</f>
        <v>25514.712665104387</v>
      </c>
      <c r="AE20" s="192">
        <f>AC20*M20</f>
        <v>40936.287334895605</v>
      </c>
      <c r="AF20" s="193">
        <f>I20-15</f>
        <v>44458</v>
      </c>
      <c r="AG20" s="193">
        <f>J20+15</f>
        <v>44496</v>
      </c>
    </row>
    <row r="21" spans="1:33">
      <c r="A21" s="18" t="s">
        <v>872</v>
      </c>
      <c r="B21" s="21" t="s">
        <v>967</v>
      </c>
      <c r="C21" s="18" t="s">
        <v>860</v>
      </c>
      <c r="D21" s="21" t="s">
        <v>217</v>
      </c>
      <c r="E21" s="18" t="s">
        <v>861</v>
      </c>
      <c r="F21" s="3">
        <v>55.49</v>
      </c>
      <c r="G21" s="3" t="s">
        <v>34</v>
      </c>
      <c r="H21" s="3">
        <v>0</v>
      </c>
      <c r="I21" s="50">
        <v>44488</v>
      </c>
      <c r="J21" s="50">
        <v>44495</v>
      </c>
      <c r="K21" s="54">
        <f>VLOOKUP(J21,SEMANAS!$B$1:$C$301,2,0)</f>
        <v>11</v>
      </c>
      <c r="L21" s="3">
        <v>5</v>
      </c>
      <c r="M21" s="6">
        <v>66451</v>
      </c>
      <c r="N21" s="58">
        <f>M21*H21</f>
        <v>0</v>
      </c>
      <c r="O21" s="181"/>
      <c r="P21" s="11"/>
      <c r="Q21" s="9"/>
      <c r="R21" s="9"/>
      <c r="S21" s="93">
        <f>O21*M21</f>
        <v>0</v>
      </c>
      <c r="T21" s="15">
        <v>44512</v>
      </c>
      <c r="U21" s="15">
        <v>44519</v>
      </c>
      <c r="V21" s="13">
        <v>5</v>
      </c>
      <c r="W21" s="12">
        <v>66451</v>
      </c>
      <c r="X21" s="17" t="s">
        <v>854</v>
      </c>
      <c r="Y21" s="17"/>
      <c r="Z21" s="17"/>
      <c r="AA21" s="17"/>
      <c r="AB21" s="191">
        <f>IFERROR(VLOOKUP(D21,MTMO!$A$5:$B$34,2,0),0)</f>
        <v>0.38396280966583479</v>
      </c>
      <c r="AC21" s="191">
        <f>IFERROR(VLOOKUP(D21,MTMO!$A$5:$C$34,3,0),0)</f>
        <v>0.61603719033416515</v>
      </c>
      <c r="AD21" s="192">
        <f>AB21*M21</f>
        <v>25514.712665104387</v>
      </c>
      <c r="AE21" s="192">
        <f>AC21*M21</f>
        <v>40936.287334895605</v>
      </c>
      <c r="AF21" s="193">
        <f>I21-15</f>
        <v>44473</v>
      </c>
      <c r="AG21" s="193">
        <f>J21+15</f>
        <v>44510</v>
      </c>
    </row>
    <row r="22" spans="1:33">
      <c r="A22" s="18" t="s">
        <v>873</v>
      </c>
      <c r="B22" s="21" t="s">
        <v>967</v>
      </c>
      <c r="C22" s="18" t="s">
        <v>863</v>
      </c>
      <c r="D22" s="21" t="s">
        <v>217</v>
      </c>
      <c r="E22" s="18" t="s">
        <v>864</v>
      </c>
      <c r="F22" s="3">
        <v>55.49</v>
      </c>
      <c r="G22" s="3" t="s">
        <v>34</v>
      </c>
      <c r="H22" s="3">
        <v>0</v>
      </c>
      <c r="I22" s="50">
        <v>44503</v>
      </c>
      <c r="J22" s="50">
        <v>44510</v>
      </c>
      <c r="K22" s="54">
        <f>VLOOKUP(J22,SEMANAS!$B$1:$C$301,2,0)</f>
        <v>13</v>
      </c>
      <c r="L22" s="3">
        <v>5</v>
      </c>
      <c r="M22" s="6">
        <v>66451</v>
      </c>
      <c r="N22" s="58">
        <f>M22*H22</f>
        <v>0</v>
      </c>
      <c r="O22" s="181"/>
      <c r="P22" s="11"/>
      <c r="Q22" s="9"/>
      <c r="R22" s="9"/>
      <c r="S22" s="93">
        <f>O22*M22</f>
        <v>0</v>
      </c>
      <c r="T22" s="15">
        <v>44529</v>
      </c>
      <c r="U22" s="15">
        <v>44536</v>
      </c>
      <c r="V22" s="13">
        <v>5</v>
      </c>
      <c r="W22" s="12">
        <v>66451</v>
      </c>
      <c r="X22" s="17" t="s">
        <v>854</v>
      </c>
      <c r="Y22" s="17"/>
      <c r="Z22" s="17"/>
      <c r="AA22" s="17"/>
      <c r="AB22" s="191">
        <f>IFERROR(VLOOKUP(D22,MTMO!$A$5:$B$34,2,0),0)</f>
        <v>0.38396280966583479</v>
      </c>
      <c r="AC22" s="191">
        <f>IFERROR(VLOOKUP(D22,MTMO!$A$5:$C$34,3,0),0)</f>
        <v>0.61603719033416515</v>
      </c>
      <c r="AD22" s="192">
        <f>AB22*M22</f>
        <v>25514.712665104387</v>
      </c>
      <c r="AE22" s="192">
        <f>AC22*M22</f>
        <v>40936.287334895605</v>
      </c>
      <c r="AF22" s="193">
        <f>I22-15</f>
        <v>44488</v>
      </c>
      <c r="AG22" s="193">
        <f>J22+15</f>
        <v>44525</v>
      </c>
    </row>
    <row r="23" spans="1:33" ht="15.75" thickBot="1">
      <c r="A23" s="18" t="s">
        <v>874</v>
      </c>
      <c r="B23" s="21" t="s">
        <v>967</v>
      </c>
      <c r="C23" s="18" t="s">
        <v>866</v>
      </c>
      <c r="D23" s="21" t="s">
        <v>217</v>
      </c>
      <c r="E23" s="18" t="s">
        <v>867</v>
      </c>
      <c r="F23" s="3">
        <v>53.46</v>
      </c>
      <c r="G23" s="3" t="s">
        <v>34</v>
      </c>
      <c r="H23" s="3">
        <v>0</v>
      </c>
      <c r="I23" s="50">
        <v>44518</v>
      </c>
      <c r="J23" s="50">
        <v>44526</v>
      </c>
      <c r="K23" s="54">
        <f>VLOOKUP(J23,SEMANAS!$B$1:$C$301,2,0)</f>
        <v>15</v>
      </c>
      <c r="L23" s="3">
        <v>5</v>
      </c>
      <c r="M23" s="6">
        <v>63511.1</v>
      </c>
      <c r="N23" s="58">
        <f>M23*H23</f>
        <v>0</v>
      </c>
      <c r="O23" s="181"/>
      <c r="P23" s="11"/>
      <c r="Q23" s="9"/>
      <c r="R23" s="9"/>
      <c r="S23" s="93">
        <f>O23*M23</f>
        <v>0</v>
      </c>
      <c r="T23" s="15">
        <v>44543</v>
      </c>
      <c r="U23" s="15">
        <v>44550</v>
      </c>
      <c r="V23" s="13">
        <v>5</v>
      </c>
      <c r="W23" s="12">
        <v>63511.1</v>
      </c>
      <c r="X23" s="17" t="s">
        <v>854</v>
      </c>
      <c r="Y23" s="17"/>
      <c r="Z23" s="17"/>
      <c r="AA23" s="17"/>
      <c r="AB23" s="191">
        <f>IFERROR(VLOOKUP(D23,MTMO!$A$5:$B$34,2,0),0)</f>
        <v>0.38396280966583479</v>
      </c>
      <c r="AC23" s="191">
        <f>IFERROR(VLOOKUP(D23,MTMO!$A$5:$C$34,3,0),0)</f>
        <v>0.61603719033416515</v>
      </c>
      <c r="AD23" s="192">
        <f>AB23*M23</f>
        <v>24385.900400967799</v>
      </c>
      <c r="AE23" s="192">
        <f>AC23*M23</f>
        <v>39125.199599032196</v>
      </c>
      <c r="AF23" s="193">
        <f>I23-15</f>
        <v>44503</v>
      </c>
      <c r="AG23" s="193">
        <f>J23+15</f>
        <v>44541</v>
      </c>
    </row>
    <row r="24" spans="1:33" ht="15.75" thickBot="1">
      <c r="A24" s="22">
        <v>-8</v>
      </c>
      <c r="B24" s="23" t="s">
        <v>966</v>
      </c>
      <c r="C24" s="24">
        <v>8</v>
      </c>
      <c r="D24" s="23"/>
      <c r="E24" s="24" t="s">
        <v>274</v>
      </c>
      <c r="F24" s="25">
        <v>6</v>
      </c>
      <c r="G24" s="25" t="s">
        <v>30</v>
      </c>
      <c r="H24" s="25">
        <v>0</v>
      </c>
      <c r="I24" s="51">
        <v>44503</v>
      </c>
      <c r="J24" s="51">
        <v>44539</v>
      </c>
      <c r="K24" s="55">
        <f>VLOOKUP(J24,SEMANAS!$B$1:$C$301,2,0)</f>
        <v>17</v>
      </c>
      <c r="L24" s="25">
        <v>24.8</v>
      </c>
      <c r="M24" s="26">
        <v>53823.6</v>
      </c>
      <c r="N24" s="57"/>
      <c r="O24" s="180"/>
      <c r="P24" s="27"/>
      <c r="Q24" s="27"/>
      <c r="R24" s="28"/>
      <c r="S24" s="183"/>
      <c r="T24" s="29">
        <v>44503</v>
      </c>
      <c r="U24" s="29">
        <v>44561</v>
      </c>
      <c r="V24" s="30">
        <v>24.8</v>
      </c>
      <c r="W24" s="31">
        <v>53823.6</v>
      </c>
      <c r="X24" s="32" t="s">
        <v>854</v>
      </c>
      <c r="Y24" s="32"/>
      <c r="Z24" s="32"/>
      <c r="AA24" s="33"/>
      <c r="AB24" s="189"/>
      <c r="AC24" s="189"/>
      <c r="AD24" s="189"/>
      <c r="AE24" s="189"/>
      <c r="AF24" s="190"/>
      <c r="AG24" s="190"/>
    </row>
    <row r="25" spans="1:33">
      <c r="A25" s="18" t="s">
        <v>880</v>
      </c>
      <c r="B25" s="21" t="s">
        <v>967</v>
      </c>
      <c r="C25" s="18" t="s">
        <v>869</v>
      </c>
      <c r="D25" s="21" t="s">
        <v>274</v>
      </c>
      <c r="E25" s="18" t="s">
        <v>870</v>
      </c>
      <c r="F25" s="3">
        <v>0.33</v>
      </c>
      <c r="G25" s="3" t="s">
        <v>30</v>
      </c>
      <c r="H25" s="3">
        <v>0</v>
      </c>
      <c r="I25" s="50">
        <v>44533</v>
      </c>
      <c r="J25" s="50">
        <v>44539</v>
      </c>
      <c r="K25" s="54">
        <f>VLOOKUP(J25,SEMANAS!$B$1:$C$301,2,0)</f>
        <v>17</v>
      </c>
      <c r="L25" s="3">
        <v>4.8</v>
      </c>
      <c r="M25" s="6">
        <v>5770.6</v>
      </c>
      <c r="N25" s="58">
        <f t="shared" ref="N25:N30" si="0">M25*H25</f>
        <v>0</v>
      </c>
      <c r="O25" s="181"/>
      <c r="P25" s="11"/>
      <c r="Q25" s="9"/>
      <c r="R25" s="9"/>
      <c r="S25" s="93">
        <f t="shared" ref="S25:S30" si="1">O25*M25</f>
        <v>0</v>
      </c>
      <c r="T25" s="15">
        <v>44557</v>
      </c>
      <c r="U25" s="15">
        <v>44561</v>
      </c>
      <c r="V25" s="13">
        <v>4.8</v>
      </c>
      <c r="W25" s="12">
        <v>5770.6</v>
      </c>
      <c r="X25" s="17" t="s">
        <v>854</v>
      </c>
      <c r="Y25" s="17"/>
      <c r="Z25" s="17"/>
      <c r="AA25" s="17"/>
      <c r="AB25" s="191">
        <f>IFERROR(VLOOKUP(D25,MTMO!$A$5:$B$34,2,0),0)</f>
        <v>0.35672482024413354</v>
      </c>
      <c r="AC25" s="191">
        <f>IFERROR(VLOOKUP(D25,MTMO!$A$5:$C$34,3,0),0)</f>
        <v>0.64327517975586646</v>
      </c>
      <c r="AD25" s="192">
        <f t="shared" ref="AD25:AD30" si="2">AB25*M25</f>
        <v>2058.5162477007971</v>
      </c>
      <c r="AE25" s="192">
        <f t="shared" ref="AE25:AE30" si="3">AC25*M25</f>
        <v>3712.0837522992033</v>
      </c>
      <c r="AF25" s="193">
        <f t="shared" ref="AF25:AF30" si="4">I25-15</f>
        <v>44518</v>
      </c>
      <c r="AG25" s="193">
        <f t="shared" ref="AG25:AG30" si="5">J25+15</f>
        <v>44554</v>
      </c>
    </row>
    <row r="26" spans="1:33">
      <c r="A26" s="18" t="s">
        <v>875</v>
      </c>
      <c r="B26" s="21" t="s">
        <v>967</v>
      </c>
      <c r="C26" s="18" t="s">
        <v>849</v>
      </c>
      <c r="D26" s="21" t="s">
        <v>274</v>
      </c>
      <c r="E26" s="18" t="s">
        <v>850</v>
      </c>
      <c r="F26" s="3">
        <v>0.33</v>
      </c>
      <c r="G26" s="3" t="s">
        <v>30</v>
      </c>
      <c r="H26" s="3">
        <v>0</v>
      </c>
      <c r="I26" s="50">
        <v>44503</v>
      </c>
      <c r="J26" s="50">
        <v>44503</v>
      </c>
      <c r="K26" s="54">
        <f>VLOOKUP(J26,SEMANAS!$B$1:$C$301,2,0)</f>
        <v>12</v>
      </c>
      <c r="L26" s="3">
        <v>0</v>
      </c>
      <c r="M26" s="6">
        <v>5770.6</v>
      </c>
      <c r="N26" s="58">
        <f t="shared" si="0"/>
        <v>0</v>
      </c>
      <c r="O26" s="181"/>
      <c r="P26" s="11"/>
      <c r="Q26" s="9"/>
      <c r="R26" s="9"/>
      <c r="S26" s="93">
        <f t="shared" si="1"/>
        <v>0</v>
      </c>
      <c r="T26" s="15">
        <v>44503</v>
      </c>
      <c r="U26" s="15">
        <v>44503</v>
      </c>
      <c r="V26" s="13">
        <v>0</v>
      </c>
      <c r="W26" s="12">
        <v>5770.6</v>
      </c>
      <c r="X26" s="17" t="s">
        <v>854</v>
      </c>
      <c r="Y26" s="17"/>
      <c r="Z26" s="17"/>
      <c r="AA26" s="17"/>
      <c r="AB26" s="191">
        <f>IFERROR(VLOOKUP(D26,MTMO!$A$5:$B$34,2,0),0)</f>
        <v>0.35672482024413354</v>
      </c>
      <c r="AC26" s="191">
        <f>IFERROR(VLOOKUP(D26,MTMO!$A$5:$C$34,3,0),0)</f>
        <v>0.64327517975586646</v>
      </c>
      <c r="AD26" s="192">
        <f t="shared" si="2"/>
        <v>2058.5162477007971</v>
      </c>
      <c r="AE26" s="192">
        <f t="shared" si="3"/>
        <v>3712.0837522992033</v>
      </c>
      <c r="AF26" s="193">
        <f t="shared" si="4"/>
        <v>44488</v>
      </c>
      <c r="AG26" s="193">
        <f t="shared" si="5"/>
        <v>44518</v>
      </c>
    </row>
    <row r="27" spans="1:33">
      <c r="A27" s="18" t="s">
        <v>876</v>
      </c>
      <c r="B27" s="21" t="s">
        <v>967</v>
      </c>
      <c r="C27" s="18" t="s">
        <v>857</v>
      </c>
      <c r="D27" s="21" t="s">
        <v>274</v>
      </c>
      <c r="E27" s="18" t="s">
        <v>858</v>
      </c>
      <c r="F27" s="3">
        <v>1.33</v>
      </c>
      <c r="G27" s="3" t="s">
        <v>30</v>
      </c>
      <c r="H27" s="3">
        <v>0</v>
      </c>
      <c r="I27" s="50">
        <v>44503</v>
      </c>
      <c r="J27" s="50">
        <v>44510</v>
      </c>
      <c r="K27" s="54">
        <f>VLOOKUP(J27,SEMANAS!$B$1:$C$301,2,0)</f>
        <v>13</v>
      </c>
      <c r="L27" s="3">
        <v>5</v>
      </c>
      <c r="M27" s="6">
        <v>10570.6</v>
      </c>
      <c r="N27" s="58">
        <f t="shared" si="0"/>
        <v>0</v>
      </c>
      <c r="O27" s="181"/>
      <c r="P27" s="11"/>
      <c r="Q27" s="9"/>
      <c r="R27" s="9"/>
      <c r="S27" s="93">
        <f t="shared" si="1"/>
        <v>0</v>
      </c>
      <c r="T27" s="15">
        <v>44504</v>
      </c>
      <c r="U27" s="15">
        <v>44512</v>
      </c>
      <c r="V27" s="13">
        <v>5</v>
      </c>
      <c r="W27" s="12">
        <v>10570.6</v>
      </c>
      <c r="X27" s="17" t="s">
        <v>854</v>
      </c>
      <c r="Y27" s="17"/>
      <c r="Z27" s="17"/>
      <c r="AA27" s="17"/>
      <c r="AB27" s="191">
        <f>IFERROR(VLOOKUP(D27,MTMO!$A$5:$B$34,2,0),0)</f>
        <v>0.35672482024413354</v>
      </c>
      <c r="AC27" s="191">
        <f>IFERROR(VLOOKUP(D27,MTMO!$A$5:$C$34,3,0),0)</f>
        <v>0.64327517975586646</v>
      </c>
      <c r="AD27" s="192">
        <f t="shared" si="2"/>
        <v>3770.7953848726384</v>
      </c>
      <c r="AE27" s="192">
        <f t="shared" si="3"/>
        <v>6799.804615127362</v>
      </c>
      <c r="AF27" s="193">
        <f t="shared" si="4"/>
        <v>44488</v>
      </c>
      <c r="AG27" s="193">
        <f t="shared" si="5"/>
        <v>44525</v>
      </c>
    </row>
    <row r="28" spans="1:33">
      <c r="A28" s="18" t="s">
        <v>877</v>
      </c>
      <c r="B28" s="21" t="s">
        <v>967</v>
      </c>
      <c r="C28" s="18" t="s">
        <v>860</v>
      </c>
      <c r="D28" s="21" t="s">
        <v>274</v>
      </c>
      <c r="E28" s="18" t="s">
        <v>861</v>
      </c>
      <c r="F28" s="3">
        <v>1.33</v>
      </c>
      <c r="G28" s="3" t="s">
        <v>30</v>
      </c>
      <c r="H28" s="3">
        <v>0</v>
      </c>
      <c r="I28" s="50">
        <v>44510</v>
      </c>
      <c r="J28" s="50">
        <v>44518</v>
      </c>
      <c r="K28" s="54">
        <f>VLOOKUP(J28,SEMANAS!$B$1:$C$301,2,0)</f>
        <v>14</v>
      </c>
      <c r="L28" s="3">
        <v>5</v>
      </c>
      <c r="M28" s="6">
        <v>10570.6</v>
      </c>
      <c r="N28" s="58">
        <f t="shared" si="0"/>
        <v>0</v>
      </c>
      <c r="O28" s="181"/>
      <c r="P28" s="11"/>
      <c r="Q28" s="9"/>
      <c r="R28" s="9"/>
      <c r="S28" s="93">
        <f t="shared" si="1"/>
        <v>0</v>
      </c>
      <c r="T28" s="15">
        <v>44519</v>
      </c>
      <c r="U28" s="15">
        <v>44529</v>
      </c>
      <c r="V28" s="13">
        <v>5</v>
      </c>
      <c r="W28" s="12">
        <v>10570.6</v>
      </c>
      <c r="X28" s="17" t="s">
        <v>854</v>
      </c>
      <c r="Y28" s="17"/>
      <c r="Z28" s="17"/>
      <c r="AA28" s="17"/>
      <c r="AB28" s="191">
        <f>IFERROR(VLOOKUP(D28,MTMO!$A$5:$B$34,2,0),0)</f>
        <v>0.35672482024413354</v>
      </c>
      <c r="AC28" s="191">
        <f>IFERROR(VLOOKUP(D28,MTMO!$A$5:$C$34,3,0),0)</f>
        <v>0.64327517975586646</v>
      </c>
      <c r="AD28" s="192">
        <f t="shared" si="2"/>
        <v>3770.7953848726384</v>
      </c>
      <c r="AE28" s="192">
        <f t="shared" si="3"/>
        <v>6799.804615127362</v>
      </c>
      <c r="AF28" s="193">
        <f t="shared" si="4"/>
        <v>44495</v>
      </c>
      <c r="AG28" s="193">
        <f t="shared" si="5"/>
        <v>44533</v>
      </c>
    </row>
    <row r="29" spans="1:33">
      <c r="A29" s="18" t="s">
        <v>878</v>
      </c>
      <c r="B29" s="21" t="s">
        <v>967</v>
      </c>
      <c r="C29" s="18" t="s">
        <v>863</v>
      </c>
      <c r="D29" s="21" t="s">
        <v>274</v>
      </c>
      <c r="E29" s="18" t="s">
        <v>864</v>
      </c>
      <c r="F29" s="3">
        <v>1.33</v>
      </c>
      <c r="G29" s="3" t="s">
        <v>30</v>
      </c>
      <c r="H29" s="3">
        <v>0</v>
      </c>
      <c r="I29" s="50">
        <v>44518</v>
      </c>
      <c r="J29" s="50">
        <v>44526</v>
      </c>
      <c r="K29" s="54">
        <f>VLOOKUP(J29,SEMANAS!$B$1:$C$301,2,0)</f>
        <v>15</v>
      </c>
      <c r="L29" s="3">
        <v>5</v>
      </c>
      <c r="M29" s="6">
        <v>10570.6</v>
      </c>
      <c r="N29" s="58">
        <f t="shared" si="0"/>
        <v>0</v>
      </c>
      <c r="O29" s="181"/>
      <c r="P29" s="11"/>
      <c r="Q29" s="9"/>
      <c r="R29" s="9"/>
      <c r="S29" s="93">
        <f t="shared" si="1"/>
        <v>0</v>
      </c>
      <c r="T29" s="15">
        <v>44536</v>
      </c>
      <c r="U29" s="15">
        <v>44543</v>
      </c>
      <c r="V29" s="13">
        <v>5</v>
      </c>
      <c r="W29" s="12">
        <v>10570.6</v>
      </c>
      <c r="X29" s="17" t="s">
        <v>854</v>
      </c>
      <c r="Y29" s="17"/>
      <c r="Z29" s="17"/>
      <c r="AA29" s="17"/>
      <c r="AB29" s="191">
        <f>IFERROR(VLOOKUP(D29,MTMO!$A$5:$B$34,2,0),0)</f>
        <v>0.35672482024413354</v>
      </c>
      <c r="AC29" s="191">
        <f>IFERROR(VLOOKUP(D29,MTMO!$A$5:$C$34,3,0),0)</f>
        <v>0.64327517975586646</v>
      </c>
      <c r="AD29" s="192">
        <f t="shared" si="2"/>
        <v>3770.7953848726384</v>
      </c>
      <c r="AE29" s="192">
        <f t="shared" si="3"/>
        <v>6799.804615127362</v>
      </c>
      <c r="AF29" s="193">
        <f t="shared" si="4"/>
        <v>44503</v>
      </c>
      <c r="AG29" s="193">
        <f t="shared" si="5"/>
        <v>44541</v>
      </c>
    </row>
    <row r="30" spans="1:33" ht="15.75" thickBot="1">
      <c r="A30" s="18" t="s">
        <v>879</v>
      </c>
      <c r="B30" s="21" t="s">
        <v>967</v>
      </c>
      <c r="C30" s="18" t="s">
        <v>866</v>
      </c>
      <c r="D30" s="21" t="s">
        <v>274</v>
      </c>
      <c r="E30" s="18" t="s">
        <v>867</v>
      </c>
      <c r="F30" s="3">
        <v>1.33</v>
      </c>
      <c r="G30" s="3" t="s">
        <v>30</v>
      </c>
      <c r="H30" s="3">
        <v>0</v>
      </c>
      <c r="I30" s="50">
        <v>44526</v>
      </c>
      <c r="J30" s="50">
        <v>44533</v>
      </c>
      <c r="K30" s="54">
        <f>VLOOKUP(J30,SEMANAS!$B$1:$C$301,2,0)</f>
        <v>16</v>
      </c>
      <c r="L30" s="3">
        <v>5</v>
      </c>
      <c r="M30" s="6">
        <v>10570.6</v>
      </c>
      <c r="N30" s="58">
        <f t="shared" si="0"/>
        <v>0</v>
      </c>
      <c r="O30" s="181"/>
      <c r="P30" s="11"/>
      <c r="Q30" s="9"/>
      <c r="R30" s="9"/>
      <c r="S30" s="93">
        <f t="shared" si="1"/>
        <v>0</v>
      </c>
      <c r="T30" s="15">
        <v>44550</v>
      </c>
      <c r="U30" s="15">
        <v>44557</v>
      </c>
      <c r="V30" s="13">
        <v>5</v>
      </c>
      <c r="W30" s="12">
        <v>10570.6</v>
      </c>
      <c r="X30" s="17" t="s">
        <v>854</v>
      </c>
      <c r="Y30" s="17"/>
      <c r="Z30" s="17"/>
      <c r="AA30" s="17"/>
      <c r="AB30" s="191">
        <f>IFERROR(VLOOKUP(D30,MTMO!$A$5:$B$34,2,0),0)</f>
        <v>0.35672482024413354</v>
      </c>
      <c r="AC30" s="191">
        <f>IFERROR(VLOOKUP(D30,MTMO!$A$5:$C$34,3,0),0)</f>
        <v>0.64327517975586646</v>
      </c>
      <c r="AD30" s="192">
        <f t="shared" si="2"/>
        <v>3770.7953848726384</v>
      </c>
      <c r="AE30" s="192">
        <f t="shared" si="3"/>
        <v>6799.804615127362</v>
      </c>
      <c r="AF30" s="193">
        <f t="shared" si="4"/>
        <v>44511</v>
      </c>
      <c r="AG30" s="193">
        <f t="shared" si="5"/>
        <v>44548</v>
      </c>
    </row>
    <row r="31" spans="1:33" ht="15.75" thickBot="1">
      <c r="A31" s="22">
        <v>-9</v>
      </c>
      <c r="B31" s="23" t="s">
        <v>966</v>
      </c>
      <c r="C31" s="24">
        <v>9</v>
      </c>
      <c r="D31" s="23"/>
      <c r="E31" s="24" t="s">
        <v>380</v>
      </c>
      <c r="F31" s="25">
        <v>562.37</v>
      </c>
      <c r="G31" s="25" t="s">
        <v>82</v>
      </c>
      <c r="H31" s="25">
        <v>0</v>
      </c>
      <c r="I31" s="51">
        <v>44526</v>
      </c>
      <c r="J31" s="51">
        <v>44554</v>
      </c>
      <c r="K31" s="55">
        <f>VLOOKUP(J31,SEMANAS!$B$1:$C$301,2,0)</f>
        <v>19</v>
      </c>
      <c r="L31" s="25">
        <v>20</v>
      </c>
      <c r="M31" s="26">
        <v>14863.2</v>
      </c>
      <c r="N31" s="57"/>
      <c r="O31" s="180"/>
      <c r="P31" s="27"/>
      <c r="Q31" s="27"/>
      <c r="R31" s="28"/>
      <c r="S31" s="183"/>
      <c r="T31" s="29">
        <v>44543</v>
      </c>
      <c r="U31" s="29">
        <v>44579</v>
      </c>
      <c r="V31" s="30">
        <v>20</v>
      </c>
      <c r="W31" s="31">
        <v>14863.2</v>
      </c>
      <c r="X31" s="32" t="s">
        <v>854</v>
      </c>
      <c r="Y31" s="32"/>
      <c r="Z31" s="32"/>
      <c r="AA31" s="33"/>
      <c r="AB31" s="189"/>
      <c r="AC31" s="189"/>
      <c r="AD31" s="189"/>
      <c r="AE31" s="189"/>
      <c r="AF31" s="190"/>
      <c r="AG31" s="190"/>
    </row>
    <row r="32" spans="1:33">
      <c r="A32" s="18" t="s">
        <v>881</v>
      </c>
      <c r="B32" s="21" t="s">
        <v>967</v>
      </c>
      <c r="C32" s="18" t="s">
        <v>857</v>
      </c>
      <c r="D32" s="21" t="s">
        <v>380</v>
      </c>
      <c r="E32" s="18" t="s">
        <v>858</v>
      </c>
      <c r="F32" s="3">
        <v>140.59</v>
      </c>
      <c r="G32" s="3" t="s">
        <v>82</v>
      </c>
      <c r="H32" s="3">
        <v>0</v>
      </c>
      <c r="I32" s="50">
        <v>44526</v>
      </c>
      <c r="J32" s="50">
        <v>44533</v>
      </c>
      <c r="K32" s="54">
        <f>VLOOKUP(J32,SEMANAS!$B$1:$C$301,2,0)</f>
        <v>16</v>
      </c>
      <c r="L32" s="3">
        <v>5</v>
      </c>
      <c r="M32" s="6">
        <v>3715.8</v>
      </c>
      <c r="N32" s="58">
        <f>M32*H32</f>
        <v>0</v>
      </c>
      <c r="O32" s="181"/>
      <c r="P32" s="11"/>
      <c r="Q32" s="9"/>
      <c r="R32" s="9"/>
      <c r="S32" s="93">
        <f>O32*M32</f>
        <v>0</v>
      </c>
      <c r="T32" s="15">
        <v>44543</v>
      </c>
      <c r="U32" s="15">
        <v>44550</v>
      </c>
      <c r="V32" s="13">
        <v>5</v>
      </c>
      <c r="W32" s="12">
        <v>3715.8</v>
      </c>
      <c r="X32" s="17" t="s">
        <v>854</v>
      </c>
      <c r="Y32" s="17"/>
      <c r="Z32" s="17"/>
      <c r="AA32" s="17"/>
      <c r="AB32" s="191">
        <f>IFERROR(VLOOKUP(D32,MTMO!$A$5:$B$34,2,0),0)</f>
        <v>0.26486813778256191</v>
      </c>
      <c r="AC32" s="191">
        <f>IFERROR(VLOOKUP(D32,MTMO!$A$5:$C$34,3,0),0)</f>
        <v>0.73513186221743809</v>
      </c>
      <c r="AD32" s="192">
        <f>AB32*M32</f>
        <v>984.19702637244359</v>
      </c>
      <c r="AE32" s="192">
        <f>AC32*M32</f>
        <v>2731.6029736275568</v>
      </c>
      <c r="AF32" s="193">
        <f>I32-15</f>
        <v>44511</v>
      </c>
      <c r="AG32" s="193">
        <f>J32+15</f>
        <v>44548</v>
      </c>
    </row>
    <row r="33" spans="1:33">
      <c r="A33" s="18" t="s">
        <v>882</v>
      </c>
      <c r="B33" s="21" t="s">
        <v>967</v>
      </c>
      <c r="C33" s="18" t="s">
        <v>860</v>
      </c>
      <c r="D33" s="21" t="s">
        <v>380</v>
      </c>
      <c r="E33" s="18" t="s">
        <v>861</v>
      </c>
      <c r="F33" s="3">
        <v>140.59</v>
      </c>
      <c r="G33" s="3" t="s">
        <v>82</v>
      </c>
      <c r="H33" s="3">
        <v>0</v>
      </c>
      <c r="I33" s="50">
        <v>44533</v>
      </c>
      <c r="J33" s="50">
        <v>44540</v>
      </c>
      <c r="K33" s="54">
        <f>VLOOKUP(J33,SEMANAS!$B$1:$C$301,2,0)</f>
        <v>17</v>
      </c>
      <c r="L33" s="3">
        <v>5</v>
      </c>
      <c r="M33" s="6">
        <v>3715.8</v>
      </c>
      <c r="N33" s="58">
        <f>M33*H33</f>
        <v>0</v>
      </c>
      <c r="O33" s="181"/>
      <c r="P33" s="11"/>
      <c r="Q33" s="9"/>
      <c r="R33" s="9"/>
      <c r="S33" s="93">
        <f>O33*M33</f>
        <v>0</v>
      </c>
      <c r="T33" s="15">
        <v>44557</v>
      </c>
      <c r="U33" s="15">
        <v>44564</v>
      </c>
      <c r="V33" s="13">
        <v>5</v>
      </c>
      <c r="W33" s="12">
        <v>3715.8</v>
      </c>
      <c r="X33" s="17" t="s">
        <v>854</v>
      </c>
      <c r="Y33" s="17"/>
      <c r="Z33" s="17"/>
      <c r="AA33" s="17"/>
      <c r="AB33" s="191">
        <f>IFERROR(VLOOKUP(D33,MTMO!$A$5:$B$34,2,0),0)</f>
        <v>0.26486813778256191</v>
      </c>
      <c r="AC33" s="191">
        <f>IFERROR(VLOOKUP(D33,MTMO!$A$5:$C$34,3,0),0)</f>
        <v>0.73513186221743809</v>
      </c>
      <c r="AD33" s="192">
        <f>AB33*M33</f>
        <v>984.19702637244359</v>
      </c>
      <c r="AE33" s="192">
        <f>AC33*M33</f>
        <v>2731.6029736275568</v>
      </c>
      <c r="AF33" s="193">
        <f>I33-15</f>
        <v>44518</v>
      </c>
      <c r="AG33" s="193">
        <f>J33+15</f>
        <v>44555</v>
      </c>
    </row>
    <row r="34" spans="1:33">
      <c r="A34" s="18" t="s">
        <v>883</v>
      </c>
      <c r="B34" s="21" t="s">
        <v>967</v>
      </c>
      <c r="C34" s="18" t="s">
        <v>863</v>
      </c>
      <c r="D34" s="21" t="s">
        <v>380</v>
      </c>
      <c r="E34" s="18" t="s">
        <v>864</v>
      </c>
      <c r="F34" s="3">
        <v>140.59</v>
      </c>
      <c r="G34" s="3" t="s">
        <v>82</v>
      </c>
      <c r="H34" s="3">
        <v>0</v>
      </c>
      <c r="I34" s="50">
        <v>44540</v>
      </c>
      <c r="J34" s="50">
        <v>44547</v>
      </c>
      <c r="K34" s="54">
        <f>VLOOKUP(J34,SEMANAS!$B$1:$C$301,2,0)</f>
        <v>18</v>
      </c>
      <c r="L34" s="3">
        <v>5</v>
      </c>
      <c r="M34" s="6">
        <v>3715.8</v>
      </c>
      <c r="N34" s="58">
        <f>M34*H34</f>
        <v>0</v>
      </c>
      <c r="O34" s="181"/>
      <c r="P34" s="11"/>
      <c r="Q34" s="9"/>
      <c r="R34" s="9"/>
      <c r="S34" s="93">
        <f>O34*M34</f>
        <v>0</v>
      </c>
      <c r="T34" s="15">
        <v>44564</v>
      </c>
      <c r="U34" s="15">
        <v>44571</v>
      </c>
      <c r="V34" s="13">
        <v>5</v>
      </c>
      <c r="W34" s="12">
        <v>3715.8</v>
      </c>
      <c r="X34" s="17" t="s">
        <v>854</v>
      </c>
      <c r="Y34" s="17"/>
      <c r="Z34" s="17"/>
      <c r="AA34" s="17"/>
      <c r="AB34" s="191">
        <f>IFERROR(VLOOKUP(D34,MTMO!$A$5:$B$34,2,0),0)</f>
        <v>0.26486813778256191</v>
      </c>
      <c r="AC34" s="191">
        <f>IFERROR(VLOOKUP(D34,MTMO!$A$5:$C$34,3,0),0)</f>
        <v>0.73513186221743809</v>
      </c>
      <c r="AD34" s="192">
        <f>AB34*M34</f>
        <v>984.19702637244359</v>
      </c>
      <c r="AE34" s="192">
        <f>AC34*M34</f>
        <v>2731.6029736275568</v>
      </c>
      <c r="AF34" s="193">
        <f>I34-15</f>
        <v>44525</v>
      </c>
      <c r="AG34" s="193">
        <f>J34+15</f>
        <v>44562</v>
      </c>
    </row>
    <row r="35" spans="1:33" ht="15.75" thickBot="1">
      <c r="A35" s="18" t="s">
        <v>884</v>
      </c>
      <c r="B35" s="21" t="s">
        <v>967</v>
      </c>
      <c r="C35" s="18" t="s">
        <v>866</v>
      </c>
      <c r="D35" s="21" t="s">
        <v>380</v>
      </c>
      <c r="E35" s="18" t="s">
        <v>867</v>
      </c>
      <c r="F35" s="3">
        <v>140.59</v>
      </c>
      <c r="G35" s="3" t="s">
        <v>82</v>
      </c>
      <c r="H35" s="3">
        <v>0</v>
      </c>
      <c r="I35" s="50">
        <v>44547</v>
      </c>
      <c r="J35" s="50">
        <v>44554</v>
      </c>
      <c r="K35" s="54">
        <f>VLOOKUP(J35,SEMANAS!$B$1:$C$301,2,0)</f>
        <v>19</v>
      </c>
      <c r="L35" s="3">
        <v>5</v>
      </c>
      <c r="M35" s="6">
        <v>3715.8</v>
      </c>
      <c r="N35" s="58">
        <f>M35*H35</f>
        <v>0</v>
      </c>
      <c r="O35" s="181"/>
      <c r="P35" s="11"/>
      <c r="Q35" s="9"/>
      <c r="R35" s="9"/>
      <c r="S35" s="93">
        <f>O35*M35</f>
        <v>0</v>
      </c>
      <c r="T35" s="15">
        <v>44571</v>
      </c>
      <c r="U35" s="15">
        <v>44579</v>
      </c>
      <c r="V35" s="13">
        <v>5</v>
      </c>
      <c r="W35" s="12">
        <v>3715.8</v>
      </c>
      <c r="X35" s="17" t="s">
        <v>854</v>
      </c>
      <c r="Y35" s="17"/>
      <c r="Z35" s="17"/>
      <c r="AA35" s="17"/>
      <c r="AB35" s="191">
        <f>IFERROR(VLOOKUP(D35,MTMO!$A$5:$B$34,2,0),0)</f>
        <v>0.26486813778256191</v>
      </c>
      <c r="AC35" s="191">
        <f>IFERROR(VLOOKUP(D35,MTMO!$A$5:$C$34,3,0),0)</f>
        <v>0.73513186221743809</v>
      </c>
      <c r="AD35" s="192">
        <f>AB35*M35</f>
        <v>984.19702637244359</v>
      </c>
      <c r="AE35" s="192">
        <f>AC35*M35</f>
        <v>2731.6029736275568</v>
      </c>
      <c r="AF35" s="193">
        <f>I35-15</f>
        <v>44532</v>
      </c>
      <c r="AG35" s="193">
        <f>J35+15</f>
        <v>44569</v>
      </c>
    </row>
    <row r="36" spans="1:33" ht="15.75" thickBot="1">
      <c r="A36" s="22">
        <v>-10</v>
      </c>
      <c r="B36" s="23" t="s">
        <v>966</v>
      </c>
      <c r="C36" s="24">
        <v>10</v>
      </c>
      <c r="D36" s="23"/>
      <c r="E36" s="24" t="s">
        <v>391</v>
      </c>
      <c r="F36" s="25">
        <v>85.54</v>
      </c>
      <c r="G36" s="25" t="s">
        <v>82</v>
      </c>
      <c r="H36" s="25">
        <v>0</v>
      </c>
      <c r="I36" s="51">
        <v>44546</v>
      </c>
      <c r="J36" s="51">
        <v>44560</v>
      </c>
      <c r="K36" s="55">
        <f>VLOOKUP(J36,SEMANAS!$B$1:$C$301,2,0)</f>
        <v>20</v>
      </c>
      <c r="L36" s="25">
        <v>10</v>
      </c>
      <c r="M36" s="26">
        <v>1710.8</v>
      </c>
      <c r="N36" s="57"/>
      <c r="O36" s="180"/>
      <c r="P36" s="27"/>
      <c r="Q36" s="27"/>
      <c r="R36" s="28"/>
      <c r="S36" s="183"/>
      <c r="T36" s="29">
        <v>44568</v>
      </c>
      <c r="U36" s="29">
        <v>44585</v>
      </c>
      <c r="V36" s="30">
        <v>10</v>
      </c>
      <c r="W36" s="31">
        <v>1710.8</v>
      </c>
      <c r="X36" s="32" t="s">
        <v>854</v>
      </c>
      <c r="Y36" s="32"/>
      <c r="Z36" s="32"/>
      <c r="AA36" s="33"/>
      <c r="AB36" s="189"/>
      <c r="AC36" s="189"/>
      <c r="AD36" s="189"/>
      <c r="AE36" s="189"/>
      <c r="AF36" s="190"/>
      <c r="AG36" s="190"/>
    </row>
    <row r="37" spans="1:33">
      <c r="A37" s="18" t="s">
        <v>392</v>
      </c>
      <c r="B37" s="21" t="s">
        <v>967</v>
      </c>
      <c r="C37" s="18" t="s">
        <v>857</v>
      </c>
      <c r="D37" s="21" t="s">
        <v>391</v>
      </c>
      <c r="E37" s="18" t="s">
        <v>858</v>
      </c>
      <c r="F37" s="3">
        <v>21.39</v>
      </c>
      <c r="G37" s="3" t="s">
        <v>82</v>
      </c>
      <c r="H37" s="3">
        <v>0</v>
      </c>
      <c r="I37" s="50">
        <v>44546</v>
      </c>
      <c r="J37" s="50">
        <v>44551</v>
      </c>
      <c r="K37" s="54">
        <f>VLOOKUP(J37,SEMANAS!$B$1:$C$301,2,0)</f>
        <v>19</v>
      </c>
      <c r="L37" s="3">
        <v>2.5</v>
      </c>
      <c r="M37" s="6">
        <v>427.7</v>
      </c>
      <c r="N37" s="58">
        <f>M37*H37</f>
        <v>0</v>
      </c>
      <c r="O37" s="181"/>
      <c r="P37" s="11"/>
      <c r="Q37" s="9"/>
      <c r="R37" s="9"/>
      <c r="S37" s="93">
        <f>O37*M37</f>
        <v>0</v>
      </c>
      <c r="T37" s="15">
        <v>44568</v>
      </c>
      <c r="U37" s="15">
        <v>44573</v>
      </c>
      <c r="V37" s="13">
        <v>2.5</v>
      </c>
      <c r="W37" s="12">
        <v>427.7</v>
      </c>
      <c r="X37" s="17" t="s">
        <v>854</v>
      </c>
      <c r="Y37" s="17"/>
      <c r="Z37" s="17"/>
      <c r="AA37" s="17"/>
      <c r="AB37" s="191">
        <f>IFERROR(VLOOKUP(D37,MTMO!$A$5:$B$34,2,0),0)</f>
        <v>0.62478082992402106</v>
      </c>
      <c r="AC37" s="191">
        <f>IFERROR(VLOOKUP(D37,MTMO!$A$5:$C$34,3,0),0)</f>
        <v>0.37521917007597894</v>
      </c>
      <c r="AD37" s="192">
        <f>AB37*M37</f>
        <v>267.21876095850382</v>
      </c>
      <c r="AE37" s="192">
        <f>AC37*M37</f>
        <v>160.4812390414962</v>
      </c>
      <c r="AF37" s="193">
        <f>I37-15</f>
        <v>44531</v>
      </c>
      <c r="AG37" s="193">
        <f>J37+15</f>
        <v>44566</v>
      </c>
    </row>
    <row r="38" spans="1:33">
      <c r="A38" s="18" t="s">
        <v>885</v>
      </c>
      <c r="B38" s="21" t="s">
        <v>967</v>
      </c>
      <c r="C38" s="18" t="s">
        <v>860</v>
      </c>
      <c r="D38" s="21" t="s">
        <v>391</v>
      </c>
      <c r="E38" s="18" t="s">
        <v>861</v>
      </c>
      <c r="F38" s="3">
        <v>21.39</v>
      </c>
      <c r="G38" s="3" t="s">
        <v>82</v>
      </c>
      <c r="H38" s="3">
        <v>0</v>
      </c>
      <c r="I38" s="50">
        <v>44551</v>
      </c>
      <c r="J38" s="50">
        <v>44553</v>
      </c>
      <c r="K38" s="54">
        <f>VLOOKUP(J38,SEMANAS!$B$1:$C$301,2,0)</f>
        <v>19</v>
      </c>
      <c r="L38" s="3">
        <v>2.5</v>
      </c>
      <c r="M38" s="6">
        <v>427.7</v>
      </c>
      <c r="N38" s="58">
        <f>M38*H38</f>
        <v>0</v>
      </c>
      <c r="O38" s="181"/>
      <c r="P38" s="11"/>
      <c r="Q38" s="9"/>
      <c r="R38" s="9"/>
      <c r="S38" s="93">
        <f>O38*M38</f>
        <v>0</v>
      </c>
      <c r="T38" s="15">
        <v>44573</v>
      </c>
      <c r="U38" s="15">
        <v>44575</v>
      </c>
      <c r="V38" s="13">
        <v>2.5</v>
      </c>
      <c r="W38" s="12">
        <v>427.7</v>
      </c>
      <c r="X38" s="17" t="s">
        <v>854</v>
      </c>
      <c r="Y38" s="17"/>
      <c r="Z38" s="17"/>
      <c r="AA38" s="17"/>
      <c r="AB38" s="191">
        <f>IFERROR(VLOOKUP(D38,MTMO!$A$5:$B$34,2,0),0)</f>
        <v>0.62478082992402106</v>
      </c>
      <c r="AC38" s="191">
        <f>IFERROR(VLOOKUP(D38,MTMO!$A$5:$C$34,3,0),0)</f>
        <v>0.37521917007597894</v>
      </c>
      <c r="AD38" s="192">
        <f>AB38*M38</f>
        <v>267.21876095850382</v>
      </c>
      <c r="AE38" s="192">
        <f>AC38*M38</f>
        <v>160.4812390414962</v>
      </c>
      <c r="AF38" s="193">
        <f>I38-15</f>
        <v>44536</v>
      </c>
      <c r="AG38" s="193">
        <f>J38+15</f>
        <v>44568</v>
      </c>
    </row>
    <row r="39" spans="1:33">
      <c r="A39" s="18" t="s">
        <v>886</v>
      </c>
      <c r="B39" s="21" t="s">
        <v>967</v>
      </c>
      <c r="C39" s="18" t="s">
        <v>863</v>
      </c>
      <c r="D39" s="21" t="s">
        <v>391</v>
      </c>
      <c r="E39" s="18" t="s">
        <v>864</v>
      </c>
      <c r="F39" s="3">
        <v>21.39</v>
      </c>
      <c r="G39" s="3" t="s">
        <v>82</v>
      </c>
      <c r="H39" s="3">
        <v>0</v>
      </c>
      <c r="I39" s="50">
        <v>44553</v>
      </c>
      <c r="J39" s="50">
        <v>44558</v>
      </c>
      <c r="K39" s="54">
        <f>VLOOKUP(J39,SEMANAS!$B$1:$C$301,2,0)</f>
        <v>20</v>
      </c>
      <c r="L39" s="3">
        <v>2.5</v>
      </c>
      <c r="M39" s="6">
        <v>427.7</v>
      </c>
      <c r="N39" s="58">
        <f>M39*H39</f>
        <v>0</v>
      </c>
      <c r="O39" s="181"/>
      <c r="P39" s="11"/>
      <c r="Q39" s="9"/>
      <c r="R39" s="9"/>
      <c r="S39" s="93">
        <f>O39*M39</f>
        <v>0</v>
      </c>
      <c r="T39" s="15">
        <v>44575</v>
      </c>
      <c r="U39" s="15">
        <v>44581</v>
      </c>
      <c r="V39" s="13">
        <v>2.5</v>
      </c>
      <c r="W39" s="12">
        <v>427.7</v>
      </c>
      <c r="X39" s="17" t="s">
        <v>854</v>
      </c>
      <c r="Y39" s="17"/>
      <c r="Z39" s="17"/>
      <c r="AA39" s="17"/>
      <c r="AB39" s="191">
        <f>IFERROR(VLOOKUP(D39,MTMO!$A$5:$B$34,2,0),0)</f>
        <v>0.62478082992402106</v>
      </c>
      <c r="AC39" s="191">
        <f>IFERROR(VLOOKUP(D39,MTMO!$A$5:$C$34,3,0),0)</f>
        <v>0.37521917007597894</v>
      </c>
      <c r="AD39" s="192">
        <f>AB39*M39</f>
        <v>267.21876095850382</v>
      </c>
      <c r="AE39" s="192">
        <f>AC39*M39</f>
        <v>160.4812390414962</v>
      </c>
      <c r="AF39" s="193">
        <f>I39-15</f>
        <v>44538</v>
      </c>
      <c r="AG39" s="193">
        <f>J39+15</f>
        <v>44573</v>
      </c>
    </row>
    <row r="40" spans="1:33" ht="15.75" thickBot="1">
      <c r="A40" s="18" t="s">
        <v>887</v>
      </c>
      <c r="B40" s="21" t="s">
        <v>967</v>
      </c>
      <c r="C40" s="18" t="s">
        <v>866</v>
      </c>
      <c r="D40" s="21" t="s">
        <v>391</v>
      </c>
      <c r="E40" s="18" t="s">
        <v>867</v>
      </c>
      <c r="F40" s="3">
        <v>21.39</v>
      </c>
      <c r="G40" s="3" t="s">
        <v>82</v>
      </c>
      <c r="H40" s="3">
        <v>0</v>
      </c>
      <c r="I40" s="50">
        <v>44558</v>
      </c>
      <c r="J40" s="50">
        <v>44560</v>
      </c>
      <c r="K40" s="54">
        <f>VLOOKUP(J40,SEMANAS!$B$1:$C$301,2,0)</f>
        <v>20</v>
      </c>
      <c r="L40" s="3">
        <v>2.5</v>
      </c>
      <c r="M40" s="6">
        <v>427.7</v>
      </c>
      <c r="N40" s="58">
        <f>M40*H40</f>
        <v>0</v>
      </c>
      <c r="O40" s="181"/>
      <c r="P40" s="11"/>
      <c r="Q40" s="9"/>
      <c r="R40" s="9"/>
      <c r="S40" s="93">
        <f>O40*M40</f>
        <v>0</v>
      </c>
      <c r="T40" s="15">
        <v>44581</v>
      </c>
      <c r="U40" s="15">
        <v>44585</v>
      </c>
      <c r="V40" s="13">
        <v>2.5</v>
      </c>
      <c r="W40" s="12">
        <v>427.7</v>
      </c>
      <c r="X40" s="17" t="s">
        <v>854</v>
      </c>
      <c r="Y40" s="17"/>
      <c r="Z40" s="17"/>
      <c r="AA40" s="17"/>
      <c r="AB40" s="191">
        <f>IFERROR(VLOOKUP(D40,MTMO!$A$5:$B$34,2,0),0)</f>
        <v>0.62478082992402106</v>
      </c>
      <c r="AC40" s="191">
        <f>IFERROR(VLOOKUP(D40,MTMO!$A$5:$C$34,3,0),0)</f>
        <v>0.37521917007597894</v>
      </c>
      <c r="AD40" s="192">
        <f>AB40*M40</f>
        <v>267.21876095850382</v>
      </c>
      <c r="AE40" s="192">
        <f>AC40*M40</f>
        <v>160.4812390414962</v>
      </c>
      <c r="AF40" s="193">
        <f>I40-15</f>
        <v>44543</v>
      </c>
      <c r="AG40" s="193">
        <f>J40+15</f>
        <v>44575</v>
      </c>
    </row>
    <row r="41" spans="1:33" ht="15.75" thickBot="1">
      <c r="A41" s="22">
        <v>-11</v>
      </c>
      <c r="B41" s="23" t="s">
        <v>966</v>
      </c>
      <c r="C41" s="24">
        <v>11</v>
      </c>
      <c r="D41" s="23"/>
      <c r="E41" s="24" t="s">
        <v>401</v>
      </c>
      <c r="F41" s="25">
        <v>24.33</v>
      </c>
      <c r="G41" s="25" t="s">
        <v>82</v>
      </c>
      <c r="H41" s="25">
        <v>0</v>
      </c>
      <c r="I41" s="51">
        <v>44551</v>
      </c>
      <c r="J41" s="51">
        <v>44580</v>
      </c>
      <c r="K41" s="55">
        <f>VLOOKUP(J41,SEMANAS!$B$1:$C$301,2,0)</f>
        <v>23</v>
      </c>
      <c r="L41" s="25">
        <v>19.899999999999999</v>
      </c>
      <c r="M41" s="26">
        <v>956.3</v>
      </c>
      <c r="N41" s="57"/>
      <c r="O41" s="180"/>
      <c r="P41" s="27"/>
      <c r="Q41" s="27"/>
      <c r="R41" s="28"/>
      <c r="S41" s="183"/>
      <c r="T41" s="29">
        <v>44551</v>
      </c>
      <c r="U41" s="29">
        <v>44602</v>
      </c>
      <c r="V41" s="30">
        <v>19.899999999999999</v>
      </c>
      <c r="W41" s="31">
        <v>956.3</v>
      </c>
      <c r="X41" s="32" t="s">
        <v>854</v>
      </c>
      <c r="Y41" s="32"/>
      <c r="Z41" s="32"/>
      <c r="AA41" s="33"/>
      <c r="AB41" s="189"/>
      <c r="AC41" s="189"/>
      <c r="AD41" s="189"/>
      <c r="AE41" s="189"/>
      <c r="AF41" s="190"/>
      <c r="AG41" s="190"/>
    </row>
    <row r="42" spans="1:33">
      <c r="A42" s="18" t="s">
        <v>888</v>
      </c>
      <c r="B42" s="21" t="s">
        <v>967</v>
      </c>
      <c r="C42" s="18" t="s">
        <v>849</v>
      </c>
      <c r="D42" s="21" t="s">
        <v>401</v>
      </c>
      <c r="E42" s="18" t="s">
        <v>850</v>
      </c>
      <c r="F42" s="3">
        <v>5.17</v>
      </c>
      <c r="G42" s="3" t="s">
        <v>82</v>
      </c>
      <c r="H42" s="3">
        <v>0</v>
      </c>
      <c r="I42" s="50">
        <v>44551</v>
      </c>
      <c r="J42" s="50">
        <v>44551</v>
      </c>
      <c r="K42" s="54">
        <f>VLOOKUP(J42,SEMANAS!$B$1:$C$301,2,0)</f>
        <v>19</v>
      </c>
      <c r="L42" s="3">
        <v>0</v>
      </c>
      <c r="M42" s="6">
        <v>203.1</v>
      </c>
      <c r="N42" s="58">
        <f>M42*H42</f>
        <v>0</v>
      </c>
      <c r="O42" s="181"/>
      <c r="P42" s="11"/>
      <c r="Q42" s="9"/>
      <c r="R42" s="9"/>
      <c r="S42" s="93">
        <f>O42*M42</f>
        <v>0</v>
      </c>
      <c r="T42" s="15">
        <v>44551</v>
      </c>
      <c r="U42" s="15">
        <v>44551</v>
      </c>
      <c r="V42" s="13">
        <v>0</v>
      </c>
      <c r="W42" s="12">
        <v>203.1</v>
      </c>
      <c r="X42" s="17" t="s">
        <v>854</v>
      </c>
      <c r="Y42" s="17"/>
      <c r="Z42" s="17"/>
      <c r="AA42" s="17"/>
      <c r="AB42" s="191">
        <f>IFERROR(VLOOKUP(D42,MTMO!$A$5:$B$34,2,0),0)</f>
        <v>0.45815899581589958</v>
      </c>
      <c r="AC42" s="191">
        <f>IFERROR(VLOOKUP(D42,MTMO!$A$5:$C$34,3,0),0)</f>
        <v>0.54184100418410042</v>
      </c>
      <c r="AD42" s="192">
        <f>AB42*M42</f>
        <v>93.052092050209197</v>
      </c>
      <c r="AE42" s="192">
        <f>AC42*M42</f>
        <v>110.0479079497908</v>
      </c>
      <c r="AF42" s="193">
        <f>I42-15</f>
        <v>44536</v>
      </c>
      <c r="AG42" s="193">
        <f>J42+15</f>
        <v>44566</v>
      </c>
    </row>
    <row r="43" spans="1:33">
      <c r="A43" s="18" t="s">
        <v>889</v>
      </c>
      <c r="B43" s="21" t="s">
        <v>967</v>
      </c>
      <c r="C43" s="18" t="s">
        <v>857</v>
      </c>
      <c r="D43" s="21" t="s">
        <v>401</v>
      </c>
      <c r="E43" s="18" t="s">
        <v>858</v>
      </c>
      <c r="F43" s="3">
        <v>6.08</v>
      </c>
      <c r="G43" s="3" t="s">
        <v>82</v>
      </c>
      <c r="H43" s="3">
        <v>0</v>
      </c>
      <c r="I43" s="50">
        <v>44551</v>
      </c>
      <c r="J43" s="50">
        <v>44558</v>
      </c>
      <c r="K43" s="54">
        <f>VLOOKUP(J43,SEMANAS!$B$1:$C$301,2,0)</f>
        <v>20</v>
      </c>
      <c r="L43" s="3">
        <v>5</v>
      </c>
      <c r="M43" s="6">
        <v>239.1</v>
      </c>
      <c r="N43" s="58">
        <f>M43*H43</f>
        <v>0</v>
      </c>
      <c r="O43" s="181"/>
      <c r="P43" s="11"/>
      <c r="Q43" s="9"/>
      <c r="R43" s="9"/>
      <c r="S43" s="93">
        <f>O43*M43</f>
        <v>0</v>
      </c>
      <c r="T43" s="15">
        <v>44573</v>
      </c>
      <c r="U43" s="15">
        <v>44581</v>
      </c>
      <c r="V43" s="13">
        <v>5</v>
      </c>
      <c r="W43" s="12">
        <v>239.1</v>
      </c>
      <c r="X43" s="17" t="s">
        <v>854</v>
      </c>
      <c r="Y43" s="17"/>
      <c r="Z43" s="17"/>
      <c r="AA43" s="17"/>
      <c r="AB43" s="191">
        <f>IFERROR(VLOOKUP(D43,MTMO!$A$5:$B$34,2,0),0)</f>
        <v>0.45815899581589958</v>
      </c>
      <c r="AC43" s="191">
        <f>IFERROR(VLOOKUP(D43,MTMO!$A$5:$C$34,3,0),0)</f>
        <v>0.54184100418410042</v>
      </c>
      <c r="AD43" s="192">
        <f>AB43*M43</f>
        <v>109.54581589958158</v>
      </c>
      <c r="AE43" s="192">
        <f>AC43*M43</f>
        <v>129.55418410041841</v>
      </c>
      <c r="AF43" s="193">
        <f>I43-15</f>
        <v>44536</v>
      </c>
      <c r="AG43" s="193">
        <f>J43+15</f>
        <v>44573</v>
      </c>
    </row>
    <row r="44" spans="1:33">
      <c r="A44" s="18" t="s">
        <v>890</v>
      </c>
      <c r="B44" s="21" t="s">
        <v>967</v>
      </c>
      <c r="C44" s="18" t="s">
        <v>860</v>
      </c>
      <c r="D44" s="21" t="s">
        <v>401</v>
      </c>
      <c r="E44" s="18" t="s">
        <v>861</v>
      </c>
      <c r="F44" s="3">
        <v>6.08</v>
      </c>
      <c r="G44" s="3" t="s">
        <v>82</v>
      </c>
      <c r="H44" s="3">
        <v>0</v>
      </c>
      <c r="I44" s="50">
        <v>44558</v>
      </c>
      <c r="J44" s="50">
        <v>44565</v>
      </c>
      <c r="K44" s="54">
        <f>VLOOKUP(J44,SEMANAS!$B$1:$C$301,2,0)</f>
        <v>21</v>
      </c>
      <c r="L44" s="3">
        <v>5</v>
      </c>
      <c r="M44" s="6">
        <v>239.1</v>
      </c>
      <c r="N44" s="58">
        <f>M44*H44</f>
        <v>0</v>
      </c>
      <c r="O44" s="181"/>
      <c r="P44" s="11"/>
      <c r="Q44" s="9"/>
      <c r="R44" s="9"/>
      <c r="S44" s="93">
        <f>O44*M44</f>
        <v>0</v>
      </c>
      <c r="T44" s="15">
        <v>44581</v>
      </c>
      <c r="U44" s="15">
        <v>44588</v>
      </c>
      <c r="V44" s="13">
        <v>5</v>
      </c>
      <c r="W44" s="12">
        <v>239.1</v>
      </c>
      <c r="X44" s="17" t="s">
        <v>854</v>
      </c>
      <c r="Y44" s="17"/>
      <c r="Z44" s="17"/>
      <c r="AA44" s="17"/>
      <c r="AB44" s="191">
        <f>IFERROR(VLOOKUP(D44,MTMO!$A$5:$B$34,2,0),0)</f>
        <v>0.45815899581589958</v>
      </c>
      <c r="AC44" s="191">
        <f>IFERROR(VLOOKUP(D44,MTMO!$A$5:$C$34,3,0),0)</f>
        <v>0.54184100418410042</v>
      </c>
      <c r="AD44" s="192">
        <f>AB44*M44</f>
        <v>109.54581589958158</v>
      </c>
      <c r="AE44" s="192">
        <f>AC44*M44</f>
        <v>129.55418410041841</v>
      </c>
      <c r="AF44" s="193">
        <f>I44-15</f>
        <v>44543</v>
      </c>
      <c r="AG44" s="193">
        <f>J44+15</f>
        <v>44580</v>
      </c>
    </row>
    <row r="45" spans="1:33">
      <c r="A45" s="18" t="s">
        <v>891</v>
      </c>
      <c r="B45" s="21" t="s">
        <v>967</v>
      </c>
      <c r="C45" s="18" t="s">
        <v>863</v>
      </c>
      <c r="D45" s="21" t="s">
        <v>401</v>
      </c>
      <c r="E45" s="18" t="s">
        <v>864</v>
      </c>
      <c r="F45" s="3">
        <v>6.08</v>
      </c>
      <c r="G45" s="3" t="s">
        <v>82</v>
      </c>
      <c r="H45" s="3">
        <v>0</v>
      </c>
      <c r="I45" s="50">
        <v>44565</v>
      </c>
      <c r="J45" s="50">
        <v>44572</v>
      </c>
      <c r="K45" s="54">
        <f>VLOOKUP(J45,SEMANAS!$B$1:$C$301,2,0)</f>
        <v>22</v>
      </c>
      <c r="L45" s="3">
        <v>5</v>
      </c>
      <c r="M45" s="6">
        <v>239.1</v>
      </c>
      <c r="N45" s="58">
        <f>M45*H45</f>
        <v>0</v>
      </c>
      <c r="O45" s="181"/>
      <c r="P45" s="11"/>
      <c r="Q45" s="9"/>
      <c r="R45" s="9"/>
      <c r="S45" s="93">
        <f>O45*M45</f>
        <v>0</v>
      </c>
      <c r="T45" s="15">
        <v>44588</v>
      </c>
      <c r="U45" s="15">
        <v>44595</v>
      </c>
      <c r="V45" s="13">
        <v>5</v>
      </c>
      <c r="W45" s="12">
        <v>239.1</v>
      </c>
      <c r="X45" s="17" t="s">
        <v>854</v>
      </c>
      <c r="Y45" s="17"/>
      <c r="Z45" s="17"/>
      <c r="AA45" s="17"/>
      <c r="AB45" s="191">
        <f>IFERROR(VLOOKUP(D45,MTMO!$A$5:$B$34,2,0),0)</f>
        <v>0.45815899581589958</v>
      </c>
      <c r="AC45" s="191">
        <f>IFERROR(VLOOKUP(D45,MTMO!$A$5:$C$34,3,0),0)</f>
        <v>0.54184100418410042</v>
      </c>
      <c r="AD45" s="192">
        <f>AB45*M45</f>
        <v>109.54581589958158</v>
      </c>
      <c r="AE45" s="192">
        <f>AC45*M45</f>
        <v>129.55418410041841</v>
      </c>
      <c r="AF45" s="193">
        <f>I45-15</f>
        <v>44550</v>
      </c>
      <c r="AG45" s="193">
        <f>J45+15</f>
        <v>44587</v>
      </c>
    </row>
    <row r="46" spans="1:33" ht="15.75" thickBot="1">
      <c r="A46" s="18" t="s">
        <v>892</v>
      </c>
      <c r="B46" s="21" t="s">
        <v>967</v>
      </c>
      <c r="C46" s="18" t="s">
        <v>866</v>
      </c>
      <c r="D46" s="21" t="s">
        <v>401</v>
      </c>
      <c r="E46" s="18" t="s">
        <v>867</v>
      </c>
      <c r="F46" s="3">
        <v>0.92</v>
      </c>
      <c r="G46" s="3" t="s">
        <v>82</v>
      </c>
      <c r="H46" s="3">
        <v>0</v>
      </c>
      <c r="I46" s="50">
        <v>44572</v>
      </c>
      <c r="J46" s="50">
        <v>44580</v>
      </c>
      <c r="K46" s="54">
        <f>VLOOKUP(J46,SEMANAS!$B$1:$C$301,2,0)</f>
        <v>23</v>
      </c>
      <c r="L46" s="3">
        <v>5</v>
      </c>
      <c r="M46" s="6">
        <v>36</v>
      </c>
      <c r="N46" s="58">
        <f>M46*H46</f>
        <v>0</v>
      </c>
      <c r="O46" s="181"/>
      <c r="P46" s="11"/>
      <c r="Q46" s="9"/>
      <c r="R46" s="9"/>
      <c r="S46" s="93">
        <f>O46*M46</f>
        <v>0</v>
      </c>
      <c r="T46" s="15">
        <v>44595</v>
      </c>
      <c r="U46" s="15">
        <v>44602</v>
      </c>
      <c r="V46" s="13">
        <v>5</v>
      </c>
      <c r="W46" s="12">
        <v>36</v>
      </c>
      <c r="X46" s="17" t="s">
        <v>854</v>
      </c>
      <c r="Y46" s="17"/>
      <c r="Z46" s="17"/>
      <c r="AA46" s="17"/>
      <c r="AB46" s="191">
        <f>IFERROR(VLOOKUP(D46,MTMO!$A$5:$B$34,2,0),0)</f>
        <v>0.45815899581589958</v>
      </c>
      <c r="AC46" s="191">
        <f>IFERROR(VLOOKUP(D46,MTMO!$A$5:$C$34,3,0),0)</f>
        <v>0.54184100418410042</v>
      </c>
      <c r="AD46" s="192">
        <f>AB46*M46</f>
        <v>16.493723849372387</v>
      </c>
      <c r="AE46" s="192">
        <f>AC46*M46</f>
        <v>19.506276150627613</v>
      </c>
      <c r="AF46" s="193">
        <f>I46-15</f>
        <v>44557</v>
      </c>
      <c r="AG46" s="193">
        <f>J46+15</f>
        <v>44595</v>
      </c>
    </row>
    <row r="47" spans="1:33" ht="15.75" thickBot="1">
      <c r="A47" s="22">
        <v>-12</v>
      </c>
      <c r="B47" s="23" t="s">
        <v>966</v>
      </c>
      <c r="C47" s="24">
        <v>12</v>
      </c>
      <c r="D47" s="23"/>
      <c r="E47" s="24" t="s">
        <v>413</v>
      </c>
      <c r="F47" s="25">
        <v>2693.28</v>
      </c>
      <c r="G47" s="25" t="s">
        <v>82</v>
      </c>
      <c r="H47" s="25">
        <v>0</v>
      </c>
      <c r="I47" s="51">
        <v>44565</v>
      </c>
      <c r="J47" s="51">
        <v>44594</v>
      </c>
      <c r="K47" s="55">
        <f>VLOOKUP(J47,SEMANAS!$B$1:$C$301,2,0)</f>
        <v>25</v>
      </c>
      <c r="L47" s="25">
        <v>20</v>
      </c>
      <c r="M47" s="26">
        <v>81742.7</v>
      </c>
      <c r="N47" s="57"/>
      <c r="O47" s="180"/>
      <c r="P47" s="27"/>
      <c r="Q47" s="27"/>
      <c r="R47" s="28"/>
      <c r="S47" s="183"/>
      <c r="T47" s="29">
        <v>44588</v>
      </c>
      <c r="U47" s="29">
        <v>44617</v>
      </c>
      <c r="V47" s="30">
        <v>20</v>
      </c>
      <c r="W47" s="31">
        <v>81742.7</v>
      </c>
      <c r="X47" s="32" t="s">
        <v>854</v>
      </c>
      <c r="Y47" s="32"/>
      <c r="Z47" s="32"/>
      <c r="AA47" s="33"/>
      <c r="AB47" s="189"/>
      <c r="AC47" s="189"/>
      <c r="AD47" s="189"/>
      <c r="AE47" s="189"/>
      <c r="AF47" s="190"/>
      <c r="AG47" s="190"/>
    </row>
    <row r="48" spans="1:33">
      <c r="A48" s="18" t="s">
        <v>893</v>
      </c>
      <c r="B48" s="21" t="s">
        <v>967</v>
      </c>
      <c r="C48" s="18" t="s">
        <v>857</v>
      </c>
      <c r="D48" s="21" t="s">
        <v>413</v>
      </c>
      <c r="E48" s="18" t="s">
        <v>858</v>
      </c>
      <c r="F48" s="3">
        <v>673.38</v>
      </c>
      <c r="G48" s="3" t="s">
        <v>82</v>
      </c>
      <c r="H48" s="3">
        <v>0</v>
      </c>
      <c r="I48" s="50">
        <v>44565</v>
      </c>
      <c r="J48" s="50">
        <v>44572</v>
      </c>
      <c r="K48" s="54">
        <f>VLOOKUP(J48,SEMANAS!$B$1:$C$301,2,0)</f>
        <v>22</v>
      </c>
      <c r="L48" s="3">
        <v>5</v>
      </c>
      <c r="M48" s="6">
        <v>20437.400000000001</v>
      </c>
      <c r="N48" s="58">
        <f>M48*H48</f>
        <v>0</v>
      </c>
      <c r="O48" s="181"/>
      <c r="P48" s="11"/>
      <c r="Q48" s="9"/>
      <c r="R48" s="9"/>
      <c r="S48" s="93">
        <f>O48*M48</f>
        <v>0</v>
      </c>
      <c r="T48" s="15">
        <v>44588</v>
      </c>
      <c r="U48" s="15">
        <v>44595</v>
      </c>
      <c r="V48" s="13">
        <v>5</v>
      </c>
      <c r="W48" s="12">
        <v>20437.400000000001</v>
      </c>
      <c r="X48" s="17" t="s">
        <v>854</v>
      </c>
      <c r="Y48" s="17"/>
      <c r="Z48" s="17"/>
      <c r="AA48" s="17"/>
      <c r="AB48" s="191">
        <f>IFERROR(VLOOKUP(D48,MTMO!$A$5:$B$34,2,0),0)</f>
        <v>0.57761004134961225</v>
      </c>
      <c r="AC48" s="191">
        <f>IFERROR(VLOOKUP(D48,MTMO!$A$5:$C$34,3,0),0)</f>
        <v>0.42238995865038781</v>
      </c>
      <c r="AD48" s="192">
        <f>AB48*M48</f>
        <v>11804.847459078566</v>
      </c>
      <c r="AE48" s="192">
        <f>AC48*M48</f>
        <v>8632.552540921437</v>
      </c>
      <c r="AF48" s="193">
        <f>I48-15</f>
        <v>44550</v>
      </c>
      <c r="AG48" s="193">
        <f>J48+15</f>
        <v>44587</v>
      </c>
    </row>
    <row r="49" spans="1:33">
      <c r="A49" s="18" t="s">
        <v>894</v>
      </c>
      <c r="B49" s="21" t="s">
        <v>967</v>
      </c>
      <c r="C49" s="18" t="s">
        <v>860</v>
      </c>
      <c r="D49" s="21" t="s">
        <v>413</v>
      </c>
      <c r="E49" s="18" t="s">
        <v>861</v>
      </c>
      <c r="F49" s="3">
        <v>673.38</v>
      </c>
      <c r="G49" s="3" t="s">
        <v>82</v>
      </c>
      <c r="H49" s="3">
        <v>0</v>
      </c>
      <c r="I49" s="50">
        <v>44572</v>
      </c>
      <c r="J49" s="50">
        <v>44580</v>
      </c>
      <c r="K49" s="54">
        <f>VLOOKUP(J49,SEMANAS!$B$1:$C$301,2,0)</f>
        <v>23</v>
      </c>
      <c r="L49" s="3">
        <v>5</v>
      </c>
      <c r="M49" s="6">
        <v>20437.400000000001</v>
      </c>
      <c r="N49" s="58">
        <f>M49*H49</f>
        <v>0</v>
      </c>
      <c r="O49" s="181"/>
      <c r="P49" s="11"/>
      <c r="Q49" s="9"/>
      <c r="R49" s="9"/>
      <c r="S49" s="93">
        <f>O49*M49</f>
        <v>0</v>
      </c>
      <c r="T49" s="15">
        <v>44595</v>
      </c>
      <c r="U49" s="15">
        <v>44602</v>
      </c>
      <c r="V49" s="13">
        <v>5</v>
      </c>
      <c r="W49" s="12">
        <v>20437.400000000001</v>
      </c>
      <c r="X49" s="17" t="s">
        <v>854</v>
      </c>
      <c r="Y49" s="17"/>
      <c r="Z49" s="17"/>
      <c r="AA49" s="17"/>
      <c r="AB49" s="191">
        <f>IFERROR(VLOOKUP(D49,MTMO!$A$5:$B$34,2,0),0)</f>
        <v>0.57761004134961225</v>
      </c>
      <c r="AC49" s="191">
        <f>IFERROR(VLOOKUP(D49,MTMO!$A$5:$C$34,3,0),0)</f>
        <v>0.42238995865038781</v>
      </c>
      <c r="AD49" s="192">
        <f>AB49*M49</f>
        <v>11804.847459078566</v>
      </c>
      <c r="AE49" s="192">
        <f>AC49*M49</f>
        <v>8632.552540921437</v>
      </c>
      <c r="AF49" s="193">
        <f>I49-15</f>
        <v>44557</v>
      </c>
      <c r="AG49" s="193">
        <f>J49+15</f>
        <v>44595</v>
      </c>
    </row>
    <row r="50" spans="1:33">
      <c r="A50" s="18" t="s">
        <v>895</v>
      </c>
      <c r="B50" s="21" t="s">
        <v>967</v>
      </c>
      <c r="C50" s="18" t="s">
        <v>863</v>
      </c>
      <c r="D50" s="21" t="s">
        <v>413</v>
      </c>
      <c r="E50" s="18" t="s">
        <v>864</v>
      </c>
      <c r="F50" s="3">
        <v>673.15</v>
      </c>
      <c r="G50" s="3" t="s">
        <v>82</v>
      </c>
      <c r="H50" s="3">
        <v>0</v>
      </c>
      <c r="I50" s="50">
        <v>44580</v>
      </c>
      <c r="J50" s="50">
        <v>44587</v>
      </c>
      <c r="K50" s="54">
        <f>VLOOKUP(J50,SEMANAS!$B$1:$C$301,2,0)</f>
        <v>24</v>
      </c>
      <c r="L50" s="3">
        <v>5</v>
      </c>
      <c r="M50" s="6">
        <v>20430.599999999999</v>
      </c>
      <c r="N50" s="58">
        <f>M50*H50</f>
        <v>0</v>
      </c>
      <c r="O50" s="181"/>
      <c r="P50" s="11"/>
      <c r="Q50" s="9"/>
      <c r="R50" s="9"/>
      <c r="S50" s="93">
        <f>O50*M50</f>
        <v>0</v>
      </c>
      <c r="T50" s="15">
        <v>44602</v>
      </c>
      <c r="U50" s="15">
        <v>44609</v>
      </c>
      <c r="V50" s="13">
        <v>5</v>
      </c>
      <c r="W50" s="12">
        <v>20430.599999999999</v>
      </c>
      <c r="X50" s="17" t="s">
        <v>854</v>
      </c>
      <c r="Y50" s="17"/>
      <c r="Z50" s="17"/>
      <c r="AA50" s="17"/>
      <c r="AB50" s="191">
        <f>IFERROR(VLOOKUP(D50,MTMO!$A$5:$B$34,2,0),0)</f>
        <v>0.57761004134961225</v>
      </c>
      <c r="AC50" s="191">
        <f>IFERROR(VLOOKUP(D50,MTMO!$A$5:$C$34,3,0),0)</f>
        <v>0.42238995865038781</v>
      </c>
      <c r="AD50" s="192">
        <f>AB50*M50</f>
        <v>11800.919710797387</v>
      </c>
      <c r="AE50" s="192">
        <f>AC50*M50</f>
        <v>8629.6802892026117</v>
      </c>
      <c r="AF50" s="193">
        <f>I50-15</f>
        <v>44565</v>
      </c>
      <c r="AG50" s="193">
        <f>J50+15</f>
        <v>44602</v>
      </c>
    </row>
    <row r="51" spans="1:33" ht="15.75" thickBot="1">
      <c r="A51" s="18" t="s">
        <v>896</v>
      </c>
      <c r="B51" s="21" t="s">
        <v>967</v>
      </c>
      <c r="C51" s="18" t="s">
        <v>866</v>
      </c>
      <c r="D51" s="21" t="s">
        <v>413</v>
      </c>
      <c r="E51" s="18" t="s">
        <v>867</v>
      </c>
      <c r="F51" s="3">
        <v>673.38</v>
      </c>
      <c r="G51" s="3" t="s">
        <v>82</v>
      </c>
      <c r="H51" s="3">
        <v>0</v>
      </c>
      <c r="I51" s="50">
        <v>44587</v>
      </c>
      <c r="J51" s="50">
        <v>44594</v>
      </c>
      <c r="K51" s="54">
        <f>VLOOKUP(J51,SEMANAS!$B$1:$C$301,2,0)</f>
        <v>25</v>
      </c>
      <c r="L51" s="3">
        <v>5</v>
      </c>
      <c r="M51" s="6">
        <v>20437.400000000001</v>
      </c>
      <c r="N51" s="58">
        <f>M51*H51</f>
        <v>0</v>
      </c>
      <c r="O51" s="181"/>
      <c r="P51" s="11"/>
      <c r="Q51" s="9"/>
      <c r="R51" s="9"/>
      <c r="S51" s="93">
        <f>O51*M51</f>
        <v>0</v>
      </c>
      <c r="T51" s="15">
        <v>44609</v>
      </c>
      <c r="U51" s="15">
        <v>44617</v>
      </c>
      <c r="V51" s="13">
        <v>5</v>
      </c>
      <c r="W51" s="12">
        <v>20437.400000000001</v>
      </c>
      <c r="X51" s="17" t="s">
        <v>854</v>
      </c>
      <c r="Y51" s="17"/>
      <c r="Z51" s="17"/>
      <c r="AA51" s="17"/>
      <c r="AB51" s="191">
        <f>IFERROR(VLOOKUP(D51,MTMO!$A$5:$B$34,2,0),0)</f>
        <v>0.57761004134961225</v>
      </c>
      <c r="AC51" s="191">
        <f>IFERROR(VLOOKUP(D51,MTMO!$A$5:$C$34,3,0),0)</f>
        <v>0.42238995865038781</v>
      </c>
      <c r="AD51" s="192">
        <f>AB51*M51</f>
        <v>11804.847459078566</v>
      </c>
      <c r="AE51" s="192">
        <f>AC51*M51</f>
        <v>8632.552540921437</v>
      </c>
      <c r="AF51" s="193">
        <f>I51-15</f>
        <v>44572</v>
      </c>
      <c r="AG51" s="193">
        <f>J51+15</f>
        <v>44609</v>
      </c>
    </row>
    <row r="52" spans="1:33" ht="15.75" thickBot="1">
      <c r="A52" s="22">
        <v>-13</v>
      </c>
      <c r="B52" s="23" t="s">
        <v>966</v>
      </c>
      <c r="C52" s="24">
        <v>13</v>
      </c>
      <c r="D52" s="23"/>
      <c r="E52" s="24" t="s">
        <v>451</v>
      </c>
      <c r="F52" s="25">
        <v>1789.8</v>
      </c>
      <c r="G52" s="25" t="s">
        <v>82</v>
      </c>
      <c r="H52" s="25">
        <v>0</v>
      </c>
      <c r="I52" s="51">
        <v>44580</v>
      </c>
      <c r="J52" s="51">
        <v>44608</v>
      </c>
      <c r="K52" s="55">
        <f>VLOOKUP(J52,SEMANAS!$B$1:$C$301,2,0)</f>
        <v>27</v>
      </c>
      <c r="L52" s="25">
        <v>20</v>
      </c>
      <c r="M52" s="26">
        <v>27245.1</v>
      </c>
      <c r="N52" s="57"/>
      <c r="O52" s="180"/>
      <c r="P52" s="27"/>
      <c r="Q52" s="27"/>
      <c r="R52" s="28"/>
      <c r="S52" s="183"/>
      <c r="T52" s="29">
        <v>44602</v>
      </c>
      <c r="U52" s="29">
        <v>44631</v>
      </c>
      <c r="V52" s="30">
        <v>20</v>
      </c>
      <c r="W52" s="31">
        <v>27245.1</v>
      </c>
      <c r="X52" s="32" t="s">
        <v>854</v>
      </c>
      <c r="Y52" s="32"/>
      <c r="Z52" s="32"/>
      <c r="AA52" s="33"/>
      <c r="AB52" s="189"/>
      <c r="AC52" s="189"/>
      <c r="AD52" s="189"/>
      <c r="AE52" s="189"/>
      <c r="AF52" s="190"/>
      <c r="AG52" s="190"/>
    </row>
    <row r="53" spans="1:33">
      <c r="A53" s="18" t="s">
        <v>897</v>
      </c>
      <c r="B53" s="21" t="s">
        <v>967</v>
      </c>
      <c r="C53" s="18" t="s">
        <v>857</v>
      </c>
      <c r="D53" s="21" t="s">
        <v>451</v>
      </c>
      <c r="E53" s="18" t="s">
        <v>858</v>
      </c>
      <c r="F53" s="3">
        <v>446.62</v>
      </c>
      <c r="G53" s="3" t="s">
        <v>82</v>
      </c>
      <c r="H53" s="3">
        <v>0</v>
      </c>
      <c r="I53" s="50">
        <v>44580</v>
      </c>
      <c r="J53" s="50">
        <v>44587</v>
      </c>
      <c r="K53" s="54">
        <f>VLOOKUP(J53,SEMANAS!$B$1:$C$301,2,0)</f>
        <v>24</v>
      </c>
      <c r="L53" s="3">
        <v>5</v>
      </c>
      <c r="M53" s="6">
        <v>6798.7</v>
      </c>
      <c r="N53" s="58">
        <f>M53*H53</f>
        <v>0</v>
      </c>
      <c r="O53" s="181"/>
      <c r="P53" s="9"/>
      <c r="Q53" s="9"/>
      <c r="R53" s="9"/>
      <c r="S53" s="93">
        <f>O53*M53</f>
        <v>0</v>
      </c>
      <c r="T53" s="15">
        <v>44602</v>
      </c>
      <c r="U53" s="15">
        <v>44609</v>
      </c>
      <c r="V53" s="13">
        <v>5</v>
      </c>
      <c r="W53" s="12">
        <v>6798.7</v>
      </c>
      <c r="X53" s="17" t="s">
        <v>854</v>
      </c>
      <c r="Y53" s="17"/>
      <c r="Z53" s="17"/>
      <c r="AA53" s="17"/>
      <c r="AB53" s="191">
        <f>IFERROR(VLOOKUP(D53,MTMO!$A$5:$B$34,2,0),0)</f>
        <v>0.45986419526518629</v>
      </c>
      <c r="AC53" s="191">
        <f>IFERROR(VLOOKUP(D53,MTMO!$A$5:$C$34,3,0),0)</f>
        <v>0.54013580473481371</v>
      </c>
      <c r="AD53" s="192">
        <f>AB53*M53</f>
        <v>3126.4787043494221</v>
      </c>
      <c r="AE53" s="192">
        <f>AC53*M53</f>
        <v>3672.2212956505778</v>
      </c>
      <c r="AF53" s="193">
        <f>I53-15</f>
        <v>44565</v>
      </c>
      <c r="AG53" s="193">
        <f>J53+15</f>
        <v>44602</v>
      </c>
    </row>
    <row r="54" spans="1:33">
      <c r="A54" s="18" t="s">
        <v>898</v>
      </c>
      <c r="B54" s="21" t="s">
        <v>967</v>
      </c>
      <c r="C54" s="18" t="s">
        <v>860</v>
      </c>
      <c r="D54" s="21" t="s">
        <v>451</v>
      </c>
      <c r="E54" s="18" t="s">
        <v>861</v>
      </c>
      <c r="F54" s="3">
        <v>447.73</v>
      </c>
      <c r="G54" s="3" t="s">
        <v>82</v>
      </c>
      <c r="H54" s="3">
        <v>0</v>
      </c>
      <c r="I54" s="50">
        <v>44587</v>
      </c>
      <c r="J54" s="50">
        <v>44594</v>
      </c>
      <c r="K54" s="54">
        <f>VLOOKUP(J54,SEMANAS!$B$1:$C$301,2,0)</f>
        <v>25</v>
      </c>
      <c r="L54" s="3">
        <v>5</v>
      </c>
      <c r="M54" s="6">
        <v>6815.5</v>
      </c>
      <c r="N54" s="58">
        <f>M54*H54</f>
        <v>0</v>
      </c>
      <c r="O54" s="181"/>
      <c r="P54" s="9"/>
      <c r="Q54" s="9"/>
      <c r="R54" s="9"/>
      <c r="S54" s="93">
        <f>O54*M54</f>
        <v>0</v>
      </c>
      <c r="T54" s="15">
        <v>44609</v>
      </c>
      <c r="U54" s="15">
        <v>44617</v>
      </c>
      <c r="V54" s="13">
        <v>5</v>
      </c>
      <c r="W54" s="12">
        <v>6815.5</v>
      </c>
      <c r="X54" s="17" t="s">
        <v>854</v>
      </c>
      <c r="Y54" s="17"/>
      <c r="Z54" s="17"/>
      <c r="AA54" s="17"/>
      <c r="AB54" s="191">
        <f>IFERROR(VLOOKUP(D54,MTMO!$A$5:$B$34,2,0),0)</f>
        <v>0.45986419526518629</v>
      </c>
      <c r="AC54" s="191">
        <f>IFERROR(VLOOKUP(D54,MTMO!$A$5:$C$34,3,0),0)</f>
        <v>0.54013580473481371</v>
      </c>
      <c r="AD54" s="192">
        <f>AB54*M54</f>
        <v>3134.2044228298773</v>
      </c>
      <c r="AE54" s="192">
        <f>AC54*M54</f>
        <v>3681.2955771701227</v>
      </c>
      <c r="AF54" s="193">
        <f>I54-15</f>
        <v>44572</v>
      </c>
      <c r="AG54" s="193">
        <f>J54+15</f>
        <v>44609</v>
      </c>
    </row>
    <row r="55" spans="1:33">
      <c r="A55" s="18" t="s">
        <v>899</v>
      </c>
      <c r="B55" s="21" t="s">
        <v>967</v>
      </c>
      <c r="C55" s="18" t="s">
        <v>863</v>
      </c>
      <c r="D55" s="21" t="s">
        <v>451</v>
      </c>
      <c r="E55" s="18" t="s">
        <v>864</v>
      </c>
      <c r="F55" s="3">
        <v>447.73</v>
      </c>
      <c r="G55" s="3" t="s">
        <v>82</v>
      </c>
      <c r="H55" s="3">
        <v>0</v>
      </c>
      <c r="I55" s="50">
        <v>44594</v>
      </c>
      <c r="J55" s="50">
        <v>44601</v>
      </c>
      <c r="K55" s="54">
        <f>VLOOKUP(J55,SEMANAS!$B$1:$C$301,2,0)</f>
        <v>26</v>
      </c>
      <c r="L55" s="3">
        <v>5</v>
      </c>
      <c r="M55" s="6">
        <v>6815.5</v>
      </c>
      <c r="N55" s="58">
        <f>M55*H55</f>
        <v>0</v>
      </c>
      <c r="O55" s="181"/>
      <c r="P55" s="9"/>
      <c r="Q55" s="9"/>
      <c r="R55" s="9"/>
      <c r="S55" s="93">
        <f>O55*M55</f>
        <v>0</v>
      </c>
      <c r="T55" s="15">
        <v>44617</v>
      </c>
      <c r="U55" s="15">
        <v>44624</v>
      </c>
      <c r="V55" s="13">
        <v>5</v>
      </c>
      <c r="W55" s="12">
        <v>6815.5</v>
      </c>
      <c r="X55" s="17" t="s">
        <v>854</v>
      </c>
      <c r="Y55" s="17"/>
      <c r="Z55" s="17"/>
      <c r="AA55" s="17"/>
      <c r="AB55" s="191">
        <f>IFERROR(VLOOKUP(D55,MTMO!$A$5:$B$34,2,0),0)</f>
        <v>0.45986419526518629</v>
      </c>
      <c r="AC55" s="191">
        <f>IFERROR(VLOOKUP(D55,MTMO!$A$5:$C$34,3,0),0)</f>
        <v>0.54013580473481371</v>
      </c>
      <c r="AD55" s="192">
        <f>AB55*M55</f>
        <v>3134.2044228298773</v>
      </c>
      <c r="AE55" s="192">
        <f>AC55*M55</f>
        <v>3681.2955771701227</v>
      </c>
      <c r="AF55" s="193">
        <f>I55-15</f>
        <v>44579</v>
      </c>
      <c r="AG55" s="193">
        <f>J55+15</f>
        <v>44616</v>
      </c>
    </row>
    <row r="56" spans="1:33" ht="15.75" thickBot="1">
      <c r="A56" s="18" t="s">
        <v>900</v>
      </c>
      <c r="B56" s="21" t="s">
        <v>967</v>
      </c>
      <c r="C56" s="18" t="s">
        <v>866</v>
      </c>
      <c r="D56" s="21" t="s">
        <v>451</v>
      </c>
      <c r="E56" s="18" t="s">
        <v>867</v>
      </c>
      <c r="F56" s="3">
        <v>447.73</v>
      </c>
      <c r="G56" s="3" t="s">
        <v>82</v>
      </c>
      <c r="H56" s="3">
        <v>0</v>
      </c>
      <c r="I56" s="50">
        <v>44601</v>
      </c>
      <c r="J56" s="50">
        <v>44608</v>
      </c>
      <c r="K56" s="54">
        <f>VLOOKUP(J56,SEMANAS!$B$1:$C$301,2,0)</f>
        <v>27</v>
      </c>
      <c r="L56" s="3">
        <v>5</v>
      </c>
      <c r="M56" s="6">
        <v>6815.5</v>
      </c>
      <c r="N56" s="58">
        <f>M56*H56</f>
        <v>0</v>
      </c>
      <c r="O56" s="181"/>
      <c r="P56" s="9"/>
      <c r="Q56" s="9"/>
      <c r="R56" s="9"/>
      <c r="S56" s="93">
        <f>O56*M56</f>
        <v>0</v>
      </c>
      <c r="T56" s="15">
        <v>44624</v>
      </c>
      <c r="U56" s="15">
        <v>44631</v>
      </c>
      <c r="V56" s="13">
        <v>5</v>
      </c>
      <c r="W56" s="12">
        <v>6815.5</v>
      </c>
      <c r="X56" s="17" t="s">
        <v>854</v>
      </c>
      <c r="Y56" s="17"/>
      <c r="Z56" s="17"/>
      <c r="AA56" s="17"/>
      <c r="AB56" s="191">
        <f>IFERROR(VLOOKUP(D56,MTMO!$A$5:$B$34,2,0),0)</f>
        <v>0.45986419526518629</v>
      </c>
      <c r="AC56" s="191">
        <f>IFERROR(VLOOKUP(D56,MTMO!$A$5:$C$34,3,0),0)</f>
        <v>0.54013580473481371</v>
      </c>
      <c r="AD56" s="192">
        <f>AB56*M56</f>
        <v>3134.2044228298773</v>
      </c>
      <c r="AE56" s="192">
        <f>AC56*M56</f>
        <v>3681.2955771701227</v>
      </c>
      <c r="AF56" s="193">
        <f>I56-15</f>
        <v>44586</v>
      </c>
      <c r="AG56" s="193">
        <f>J56+15</f>
        <v>44623</v>
      </c>
    </row>
    <row r="57" spans="1:33" ht="15.75" thickBot="1">
      <c r="A57" s="22">
        <v>-14</v>
      </c>
      <c r="B57" s="23" t="s">
        <v>966</v>
      </c>
      <c r="C57" s="24">
        <v>14</v>
      </c>
      <c r="D57" s="23"/>
      <c r="E57" s="24" t="s">
        <v>463</v>
      </c>
      <c r="F57" s="25">
        <v>84</v>
      </c>
      <c r="G57" s="25" t="s">
        <v>50</v>
      </c>
      <c r="H57" s="25">
        <v>0</v>
      </c>
      <c r="I57" s="51">
        <v>44587</v>
      </c>
      <c r="J57" s="51">
        <v>44616</v>
      </c>
      <c r="K57" s="55">
        <f>VLOOKUP(J57,SEMANAS!$B$1:$C$301,2,0)</f>
        <v>28</v>
      </c>
      <c r="L57" s="25">
        <v>20</v>
      </c>
      <c r="M57" s="26">
        <v>106000</v>
      </c>
      <c r="N57" s="57"/>
      <c r="O57" s="180"/>
      <c r="P57" s="27"/>
      <c r="Q57" s="27"/>
      <c r="R57" s="28"/>
      <c r="S57" s="183"/>
      <c r="T57" s="29">
        <v>44609</v>
      </c>
      <c r="U57" s="29">
        <v>44638</v>
      </c>
      <c r="V57" s="30">
        <v>20</v>
      </c>
      <c r="W57" s="31">
        <v>106000</v>
      </c>
      <c r="X57" s="32" t="s">
        <v>854</v>
      </c>
      <c r="Y57" s="32"/>
      <c r="Z57" s="32"/>
      <c r="AA57" s="33"/>
      <c r="AB57" s="189"/>
      <c r="AC57" s="189"/>
      <c r="AD57" s="189"/>
      <c r="AE57" s="189"/>
      <c r="AF57" s="190"/>
      <c r="AG57" s="190"/>
    </row>
    <row r="58" spans="1:33">
      <c r="A58" s="18" t="s">
        <v>901</v>
      </c>
      <c r="B58" s="21" t="s">
        <v>967</v>
      </c>
      <c r="C58" s="18" t="s">
        <v>857</v>
      </c>
      <c r="D58" s="21" t="s">
        <v>463</v>
      </c>
      <c r="E58" s="18" t="s">
        <v>858</v>
      </c>
      <c r="F58" s="3">
        <v>21</v>
      </c>
      <c r="G58" s="3" t="s">
        <v>50</v>
      </c>
      <c r="H58" s="3">
        <v>0</v>
      </c>
      <c r="I58" s="50">
        <v>44587</v>
      </c>
      <c r="J58" s="50">
        <v>44594</v>
      </c>
      <c r="K58" s="54">
        <f>VLOOKUP(J58,SEMANAS!$B$1:$C$301,2,0)</f>
        <v>25</v>
      </c>
      <c r="L58" s="3">
        <v>5</v>
      </c>
      <c r="M58" s="6">
        <v>26500</v>
      </c>
      <c r="N58" s="58">
        <f>M58*H58</f>
        <v>0</v>
      </c>
      <c r="O58" s="181"/>
      <c r="P58" s="11"/>
      <c r="Q58" s="9"/>
      <c r="R58" s="9"/>
      <c r="S58" s="93">
        <f>O58*M58</f>
        <v>0</v>
      </c>
      <c r="T58" s="15">
        <v>44609</v>
      </c>
      <c r="U58" s="15">
        <v>44617</v>
      </c>
      <c r="V58" s="13">
        <v>5</v>
      </c>
      <c r="W58" s="12">
        <v>26500</v>
      </c>
      <c r="X58" s="17" t="s">
        <v>854</v>
      </c>
      <c r="Y58" s="17"/>
      <c r="Z58" s="17"/>
      <c r="AA58" s="17"/>
      <c r="AB58" s="191">
        <f>IFERROR(VLOOKUP(D58,MTMO!$A$5:$B$34,2,0),0)</f>
        <v>0.19811320754716982</v>
      </c>
      <c r="AC58" s="191">
        <f>IFERROR(VLOOKUP(D58,MTMO!$A$5:$C$34,3,0),0)</f>
        <v>0.80188679245283023</v>
      </c>
      <c r="AD58" s="192">
        <f>AB58*M58</f>
        <v>5250</v>
      </c>
      <c r="AE58" s="192">
        <f>AC58*M58</f>
        <v>21250</v>
      </c>
      <c r="AF58" s="193">
        <f>I58-15</f>
        <v>44572</v>
      </c>
      <c r="AG58" s="193">
        <f>J58+15</f>
        <v>44609</v>
      </c>
    </row>
    <row r="59" spans="1:33">
      <c r="A59" s="18" t="s">
        <v>902</v>
      </c>
      <c r="B59" s="21" t="s">
        <v>967</v>
      </c>
      <c r="C59" s="18" t="s">
        <v>860</v>
      </c>
      <c r="D59" s="21" t="s">
        <v>463</v>
      </c>
      <c r="E59" s="18" t="s">
        <v>861</v>
      </c>
      <c r="F59" s="3">
        <v>21</v>
      </c>
      <c r="G59" s="3" t="s">
        <v>50</v>
      </c>
      <c r="H59" s="3">
        <v>0</v>
      </c>
      <c r="I59" s="50">
        <v>44594</v>
      </c>
      <c r="J59" s="50">
        <v>44601</v>
      </c>
      <c r="K59" s="54">
        <f>VLOOKUP(J59,SEMANAS!$B$1:$C$301,2,0)</f>
        <v>26</v>
      </c>
      <c r="L59" s="3">
        <v>5</v>
      </c>
      <c r="M59" s="6">
        <v>26500</v>
      </c>
      <c r="N59" s="58">
        <f>M59*H59</f>
        <v>0</v>
      </c>
      <c r="O59" s="181"/>
      <c r="P59" s="11"/>
      <c r="Q59" s="9"/>
      <c r="R59" s="9"/>
      <c r="S59" s="93">
        <f>O59*M59</f>
        <v>0</v>
      </c>
      <c r="T59" s="15">
        <v>44617</v>
      </c>
      <c r="U59" s="15">
        <v>44624</v>
      </c>
      <c r="V59" s="13">
        <v>5</v>
      </c>
      <c r="W59" s="12">
        <v>26500</v>
      </c>
      <c r="X59" s="17" t="s">
        <v>854</v>
      </c>
      <c r="Y59" s="17"/>
      <c r="Z59" s="17"/>
      <c r="AA59" s="17"/>
      <c r="AB59" s="191">
        <f>IFERROR(VLOOKUP(D59,MTMO!$A$5:$B$34,2,0),0)</f>
        <v>0.19811320754716982</v>
      </c>
      <c r="AC59" s="191">
        <f>IFERROR(VLOOKUP(D59,MTMO!$A$5:$C$34,3,0),0)</f>
        <v>0.80188679245283023</v>
      </c>
      <c r="AD59" s="192">
        <f>AB59*M59</f>
        <v>5250</v>
      </c>
      <c r="AE59" s="192">
        <f>AC59*M59</f>
        <v>21250</v>
      </c>
      <c r="AF59" s="193">
        <f>I59-15</f>
        <v>44579</v>
      </c>
      <c r="AG59" s="193">
        <f>J59+15</f>
        <v>44616</v>
      </c>
    </row>
    <row r="60" spans="1:33">
      <c r="A60" s="18" t="s">
        <v>903</v>
      </c>
      <c r="B60" s="21" t="s">
        <v>967</v>
      </c>
      <c r="C60" s="18" t="s">
        <v>863</v>
      </c>
      <c r="D60" s="21" t="s">
        <v>463</v>
      </c>
      <c r="E60" s="18" t="s">
        <v>864</v>
      </c>
      <c r="F60" s="3">
        <v>21</v>
      </c>
      <c r="G60" s="3" t="s">
        <v>50</v>
      </c>
      <c r="H60" s="3">
        <v>0</v>
      </c>
      <c r="I60" s="50">
        <v>44601</v>
      </c>
      <c r="J60" s="50">
        <v>44608</v>
      </c>
      <c r="K60" s="54">
        <f>VLOOKUP(J60,SEMANAS!$B$1:$C$301,2,0)</f>
        <v>27</v>
      </c>
      <c r="L60" s="3">
        <v>5</v>
      </c>
      <c r="M60" s="6">
        <v>26500</v>
      </c>
      <c r="N60" s="58">
        <f>M60*H60</f>
        <v>0</v>
      </c>
      <c r="O60" s="181"/>
      <c r="P60" s="11"/>
      <c r="Q60" s="9"/>
      <c r="R60" s="9"/>
      <c r="S60" s="93">
        <f>O60*M60</f>
        <v>0</v>
      </c>
      <c r="T60" s="15">
        <v>44624</v>
      </c>
      <c r="U60" s="15">
        <v>44631</v>
      </c>
      <c r="V60" s="13">
        <v>5</v>
      </c>
      <c r="W60" s="12">
        <v>26500</v>
      </c>
      <c r="X60" s="17" t="s">
        <v>854</v>
      </c>
      <c r="Y60" s="17"/>
      <c r="Z60" s="17"/>
      <c r="AA60" s="17"/>
      <c r="AB60" s="191">
        <f>IFERROR(VLOOKUP(D60,MTMO!$A$5:$B$34,2,0),0)</f>
        <v>0.19811320754716982</v>
      </c>
      <c r="AC60" s="191">
        <f>IFERROR(VLOOKUP(D60,MTMO!$A$5:$C$34,3,0),0)</f>
        <v>0.80188679245283023</v>
      </c>
      <c r="AD60" s="192">
        <f>AB60*M60</f>
        <v>5250</v>
      </c>
      <c r="AE60" s="192">
        <f>AC60*M60</f>
        <v>21250</v>
      </c>
      <c r="AF60" s="193">
        <f>I60-15</f>
        <v>44586</v>
      </c>
      <c r="AG60" s="193">
        <f>J60+15</f>
        <v>44623</v>
      </c>
    </row>
    <row r="61" spans="1:33" ht="15.75" thickBot="1">
      <c r="A61" s="18" t="s">
        <v>904</v>
      </c>
      <c r="B61" s="21" t="s">
        <v>967</v>
      </c>
      <c r="C61" s="18" t="s">
        <v>866</v>
      </c>
      <c r="D61" s="21" t="s">
        <v>463</v>
      </c>
      <c r="E61" s="18" t="s">
        <v>867</v>
      </c>
      <c r="F61" s="3">
        <v>21</v>
      </c>
      <c r="G61" s="3" t="s">
        <v>50</v>
      </c>
      <c r="H61" s="3">
        <v>0</v>
      </c>
      <c r="I61" s="50">
        <v>44608</v>
      </c>
      <c r="J61" s="50">
        <v>44616</v>
      </c>
      <c r="K61" s="54">
        <f>VLOOKUP(J61,SEMANAS!$B$1:$C$301,2,0)</f>
        <v>28</v>
      </c>
      <c r="L61" s="3">
        <v>5</v>
      </c>
      <c r="M61" s="6">
        <v>26500</v>
      </c>
      <c r="N61" s="58">
        <f>M61*H61</f>
        <v>0</v>
      </c>
      <c r="O61" s="181"/>
      <c r="P61" s="11"/>
      <c r="Q61" s="9"/>
      <c r="R61" s="9"/>
      <c r="S61" s="93">
        <f>O61*M61</f>
        <v>0</v>
      </c>
      <c r="T61" s="15">
        <v>44631</v>
      </c>
      <c r="U61" s="15">
        <v>44638</v>
      </c>
      <c r="V61" s="13">
        <v>5</v>
      </c>
      <c r="W61" s="12">
        <v>26500</v>
      </c>
      <c r="X61" s="17" t="s">
        <v>854</v>
      </c>
      <c r="Y61" s="17"/>
      <c r="Z61" s="17"/>
      <c r="AA61" s="17"/>
      <c r="AB61" s="191">
        <f>IFERROR(VLOOKUP(D61,MTMO!$A$5:$B$34,2,0),0)</f>
        <v>0.19811320754716982</v>
      </c>
      <c r="AC61" s="191">
        <f>IFERROR(VLOOKUP(D61,MTMO!$A$5:$C$34,3,0),0)</f>
        <v>0.80188679245283023</v>
      </c>
      <c r="AD61" s="192">
        <f>AB61*M61</f>
        <v>5250</v>
      </c>
      <c r="AE61" s="192">
        <f>AC61*M61</f>
        <v>21250</v>
      </c>
      <c r="AF61" s="193">
        <f>I61-15</f>
        <v>44593</v>
      </c>
      <c r="AG61" s="193">
        <f>J61+15</f>
        <v>44631</v>
      </c>
    </row>
    <row r="62" spans="1:33" ht="15.75" thickBot="1">
      <c r="A62" s="22">
        <v>-15</v>
      </c>
      <c r="B62" s="23" t="s">
        <v>966</v>
      </c>
      <c r="C62" s="24">
        <v>15</v>
      </c>
      <c r="D62" s="23"/>
      <c r="E62" s="24" t="s">
        <v>488</v>
      </c>
      <c r="F62" s="25">
        <v>16</v>
      </c>
      <c r="G62" s="25" t="s">
        <v>213</v>
      </c>
      <c r="H62" s="25">
        <v>0</v>
      </c>
      <c r="I62" s="51">
        <v>44594</v>
      </c>
      <c r="J62" s="51">
        <v>44623</v>
      </c>
      <c r="K62" s="55">
        <f>VLOOKUP(J62,SEMANAS!$B$1:$C$301,2,0)</f>
        <v>29</v>
      </c>
      <c r="L62" s="25">
        <v>20</v>
      </c>
      <c r="M62" s="26">
        <v>20538.099999999999</v>
      </c>
      <c r="N62" s="57"/>
      <c r="O62" s="180"/>
      <c r="P62" s="27"/>
      <c r="Q62" s="27"/>
      <c r="R62" s="28"/>
      <c r="S62" s="183"/>
      <c r="T62" s="29">
        <v>44617</v>
      </c>
      <c r="U62" s="29">
        <v>44645</v>
      </c>
      <c r="V62" s="30">
        <v>20</v>
      </c>
      <c r="W62" s="31">
        <v>20538.099999999999</v>
      </c>
      <c r="X62" s="32" t="s">
        <v>854</v>
      </c>
      <c r="Y62" s="32"/>
      <c r="Z62" s="32"/>
      <c r="AA62" s="33"/>
      <c r="AB62" s="189"/>
      <c r="AC62" s="189"/>
      <c r="AD62" s="189"/>
      <c r="AE62" s="189"/>
      <c r="AF62" s="190"/>
      <c r="AG62" s="190"/>
    </row>
    <row r="63" spans="1:33">
      <c r="A63" s="18" t="s">
        <v>905</v>
      </c>
      <c r="B63" s="21" t="s">
        <v>967</v>
      </c>
      <c r="C63" s="18" t="s">
        <v>857</v>
      </c>
      <c r="D63" s="21" t="s">
        <v>488</v>
      </c>
      <c r="E63" s="18" t="s">
        <v>858</v>
      </c>
      <c r="F63" s="3">
        <v>4</v>
      </c>
      <c r="G63" s="3" t="s">
        <v>213</v>
      </c>
      <c r="H63" s="3">
        <v>0</v>
      </c>
      <c r="I63" s="50">
        <v>44594</v>
      </c>
      <c r="J63" s="50">
        <v>44601</v>
      </c>
      <c r="K63" s="54">
        <f>VLOOKUP(J63,SEMANAS!$B$1:$C$301,2,0)</f>
        <v>26</v>
      </c>
      <c r="L63" s="3">
        <v>5</v>
      </c>
      <c r="M63" s="6">
        <v>5130.3</v>
      </c>
      <c r="N63" s="58">
        <f>M63*H63</f>
        <v>0</v>
      </c>
      <c r="O63" s="181"/>
      <c r="P63" s="11"/>
      <c r="Q63" s="9"/>
      <c r="R63" s="9"/>
      <c r="S63" s="93">
        <f>O63*M63</f>
        <v>0</v>
      </c>
      <c r="T63" s="15">
        <v>44617</v>
      </c>
      <c r="U63" s="15">
        <v>44624</v>
      </c>
      <c r="V63" s="13">
        <v>5</v>
      </c>
      <c r="W63" s="12">
        <v>5130.3</v>
      </c>
      <c r="X63" s="17" t="s">
        <v>854</v>
      </c>
      <c r="Y63" s="17"/>
      <c r="Z63" s="17"/>
      <c r="AA63" s="17"/>
      <c r="AB63" s="191">
        <f>IFERROR(VLOOKUP(D63,MTMO!$A$5:$B$34,2,0),0)</f>
        <v>0.62323497906319991</v>
      </c>
      <c r="AC63" s="191">
        <f>IFERROR(VLOOKUP(D63,MTMO!$A$5:$C$34,3,0),0)</f>
        <v>0.37676502093680009</v>
      </c>
      <c r="AD63" s="192">
        <f>AB63*M63</f>
        <v>3197.3824130879348</v>
      </c>
      <c r="AE63" s="192">
        <f>AC63*M63</f>
        <v>1932.9175869120656</v>
      </c>
      <c r="AF63" s="193">
        <f>I63-15</f>
        <v>44579</v>
      </c>
      <c r="AG63" s="193">
        <f>J63+15</f>
        <v>44616</v>
      </c>
    </row>
    <row r="64" spans="1:33">
      <c r="A64" s="18" t="s">
        <v>906</v>
      </c>
      <c r="B64" s="21" t="s">
        <v>967</v>
      </c>
      <c r="C64" s="18" t="s">
        <v>860</v>
      </c>
      <c r="D64" s="21" t="s">
        <v>488</v>
      </c>
      <c r="E64" s="18" t="s">
        <v>861</v>
      </c>
      <c r="F64" s="3">
        <v>4</v>
      </c>
      <c r="G64" s="3" t="s">
        <v>213</v>
      </c>
      <c r="H64" s="3">
        <v>0</v>
      </c>
      <c r="I64" s="50">
        <v>44601</v>
      </c>
      <c r="J64" s="50">
        <v>44608</v>
      </c>
      <c r="K64" s="54">
        <f>VLOOKUP(J64,SEMANAS!$B$1:$C$301,2,0)</f>
        <v>27</v>
      </c>
      <c r="L64" s="3">
        <v>5</v>
      </c>
      <c r="M64" s="6">
        <v>5135.8999999999996</v>
      </c>
      <c r="N64" s="58">
        <f>M64*H64</f>
        <v>0</v>
      </c>
      <c r="O64" s="181"/>
      <c r="P64" s="11"/>
      <c r="Q64" s="9"/>
      <c r="R64" s="9"/>
      <c r="S64" s="93">
        <f>O64*M64</f>
        <v>0</v>
      </c>
      <c r="T64" s="15">
        <v>44624</v>
      </c>
      <c r="U64" s="15">
        <v>44631</v>
      </c>
      <c r="V64" s="13">
        <v>5</v>
      </c>
      <c r="W64" s="12">
        <v>5135.8999999999996</v>
      </c>
      <c r="X64" s="17" t="s">
        <v>854</v>
      </c>
      <c r="Y64" s="17"/>
      <c r="Z64" s="17"/>
      <c r="AA64" s="17"/>
      <c r="AB64" s="191">
        <f>IFERROR(VLOOKUP(D64,MTMO!$A$5:$B$34,2,0),0)</f>
        <v>0.62323497906319991</v>
      </c>
      <c r="AC64" s="191">
        <f>IFERROR(VLOOKUP(D64,MTMO!$A$5:$C$34,3,0),0)</f>
        <v>0.37676502093680009</v>
      </c>
      <c r="AD64" s="192">
        <f>AB64*M64</f>
        <v>3200.8725289706881</v>
      </c>
      <c r="AE64" s="192">
        <f>AC64*M64</f>
        <v>1935.0274710293115</v>
      </c>
      <c r="AF64" s="193">
        <f>I64-15</f>
        <v>44586</v>
      </c>
      <c r="AG64" s="193">
        <f>J64+15</f>
        <v>44623</v>
      </c>
    </row>
    <row r="65" spans="1:33">
      <c r="A65" s="18" t="s">
        <v>907</v>
      </c>
      <c r="B65" s="21" t="s">
        <v>967</v>
      </c>
      <c r="C65" s="18" t="s">
        <v>863</v>
      </c>
      <c r="D65" s="21" t="s">
        <v>488</v>
      </c>
      <c r="E65" s="18" t="s">
        <v>864</v>
      </c>
      <c r="F65" s="3">
        <v>4</v>
      </c>
      <c r="G65" s="3" t="s">
        <v>213</v>
      </c>
      <c r="H65" s="3">
        <v>0</v>
      </c>
      <c r="I65" s="50">
        <v>44608</v>
      </c>
      <c r="J65" s="50">
        <v>44616</v>
      </c>
      <c r="K65" s="54">
        <f>VLOOKUP(J65,SEMANAS!$B$1:$C$301,2,0)</f>
        <v>28</v>
      </c>
      <c r="L65" s="3">
        <v>5</v>
      </c>
      <c r="M65" s="6">
        <v>5135.8999999999996</v>
      </c>
      <c r="N65" s="58">
        <f>M65*H65</f>
        <v>0</v>
      </c>
      <c r="O65" s="181"/>
      <c r="P65" s="11"/>
      <c r="Q65" s="9"/>
      <c r="R65" s="9"/>
      <c r="S65" s="93">
        <f>O65*M65</f>
        <v>0</v>
      </c>
      <c r="T65" s="15">
        <v>44631</v>
      </c>
      <c r="U65" s="15">
        <v>44638</v>
      </c>
      <c r="V65" s="13">
        <v>5</v>
      </c>
      <c r="W65" s="12">
        <v>5135.8999999999996</v>
      </c>
      <c r="X65" s="17" t="s">
        <v>854</v>
      </c>
      <c r="Y65" s="17"/>
      <c r="Z65" s="17"/>
      <c r="AA65" s="17"/>
      <c r="AB65" s="191">
        <f>IFERROR(VLOOKUP(D65,MTMO!$A$5:$B$34,2,0),0)</f>
        <v>0.62323497906319991</v>
      </c>
      <c r="AC65" s="191">
        <f>IFERROR(VLOOKUP(D65,MTMO!$A$5:$C$34,3,0),0)</f>
        <v>0.37676502093680009</v>
      </c>
      <c r="AD65" s="192">
        <f>AB65*M65</f>
        <v>3200.8725289706881</v>
      </c>
      <c r="AE65" s="192">
        <f>AC65*M65</f>
        <v>1935.0274710293115</v>
      </c>
      <c r="AF65" s="193">
        <f>I65-15</f>
        <v>44593</v>
      </c>
      <c r="AG65" s="193">
        <f>J65+15</f>
        <v>44631</v>
      </c>
    </row>
    <row r="66" spans="1:33" ht="15.75" thickBot="1">
      <c r="A66" s="18" t="s">
        <v>908</v>
      </c>
      <c r="B66" s="21" t="s">
        <v>967</v>
      </c>
      <c r="C66" s="18" t="s">
        <v>866</v>
      </c>
      <c r="D66" s="21" t="s">
        <v>488</v>
      </c>
      <c r="E66" s="18" t="s">
        <v>867</v>
      </c>
      <c r="F66" s="3">
        <v>4</v>
      </c>
      <c r="G66" s="3" t="s">
        <v>213</v>
      </c>
      <c r="H66" s="3">
        <v>0</v>
      </c>
      <c r="I66" s="50">
        <v>44616</v>
      </c>
      <c r="J66" s="50">
        <v>44623</v>
      </c>
      <c r="K66" s="54">
        <f>VLOOKUP(J66,SEMANAS!$B$1:$C$301,2,0)</f>
        <v>29</v>
      </c>
      <c r="L66" s="3">
        <v>5</v>
      </c>
      <c r="M66" s="6">
        <v>5135.8999999999996</v>
      </c>
      <c r="N66" s="58">
        <f>M66*H66</f>
        <v>0</v>
      </c>
      <c r="O66" s="181"/>
      <c r="P66" s="11"/>
      <c r="Q66" s="9"/>
      <c r="R66" s="9"/>
      <c r="S66" s="93">
        <f>O66*M66</f>
        <v>0</v>
      </c>
      <c r="T66" s="15">
        <v>44638</v>
      </c>
      <c r="U66" s="15">
        <v>44645</v>
      </c>
      <c r="V66" s="13">
        <v>5</v>
      </c>
      <c r="W66" s="12">
        <v>5135.8999999999996</v>
      </c>
      <c r="X66" s="17" t="s">
        <v>854</v>
      </c>
      <c r="Y66" s="17"/>
      <c r="Z66" s="17"/>
      <c r="AA66" s="17"/>
      <c r="AB66" s="191">
        <f>IFERROR(VLOOKUP(D66,MTMO!$A$5:$B$34,2,0),0)</f>
        <v>0.62323497906319991</v>
      </c>
      <c r="AC66" s="191">
        <f>IFERROR(VLOOKUP(D66,MTMO!$A$5:$C$34,3,0),0)</f>
        <v>0.37676502093680009</v>
      </c>
      <c r="AD66" s="192">
        <f>AB66*M66</f>
        <v>3200.8725289706881</v>
      </c>
      <c r="AE66" s="192">
        <f>AC66*M66</f>
        <v>1935.0274710293115</v>
      </c>
      <c r="AF66" s="193">
        <f>I66-15</f>
        <v>44601</v>
      </c>
      <c r="AG66" s="193">
        <f>J66+15</f>
        <v>44638</v>
      </c>
    </row>
    <row r="67" spans="1:33" ht="15.75" thickBot="1">
      <c r="A67" s="22">
        <v>-16</v>
      </c>
      <c r="B67" s="23" t="s">
        <v>966</v>
      </c>
      <c r="C67" s="24">
        <v>16</v>
      </c>
      <c r="D67" s="23"/>
      <c r="E67" s="24" t="s">
        <v>503</v>
      </c>
      <c r="F67" s="25">
        <v>234.3</v>
      </c>
      <c r="G67" s="25" t="s">
        <v>82</v>
      </c>
      <c r="H67" s="25">
        <v>0</v>
      </c>
      <c r="I67" s="51">
        <v>44608</v>
      </c>
      <c r="J67" s="51">
        <v>44637</v>
      </c>
      <c r="K67" s="55">
        <f>VLOOKUP(J67,SEMANAS!$B$1:$C$301,2,0)</f>
        <v>31</v>
      </c>
      <c r="L67" s="25">
        <v>20</v>
      </c>
      <c r="M67" s="26">
        <v>9190</v>
      </c>
      <c r="N67" s="57"/>
      <c r="O67" s="180"/>
      <c r="P67" s="27"/>
      <c r="Q67" s="27"/>
      <c r="R67" s="28"/>
      <c r="S67" s="183"/>
      <c r="T67" s="29">
        <v>44631</v>
      </c>
      <c r="U67" s="29">
        <v>44659</v>
      </c>
      <c r="V67" s="30">
        <v>20</v>
      </c>
      <c r="W67" s="31">
        <v>9190</v>
      </c>
      <c r="X67" s="32" t="s">
        <v>854</v>
      </c>
      <c r="Y67" s="32"/>
      <c r="Z67" s="32"/>
      <c r="AA67" s="33"/>
      <c r="AB67" s="189"/>
      <c r="AC67" s="189"/>
      <c r="AD67" s="189"/>
      <c r="AE67" s="189"/>
      <c r="AF67" s="190"/>
      <c r="AG67" s="190"/>
    </row>
    <row r="68" spans="1:33">
      <c r="A68" s="18" t="s">
        <v>909</v>
      </c>
      <c r="B68" s="21" t="s">
        <v>967</v>
      </c>
      <c r="C68" s="18" t="s">
        <v>857</v>
      </c>
      <c r="D68" s="21" t="s">
        <v>503</v>
      </c>
      <c r="E68" s="18" t="s">
        <v>858</v>
      </c>
      <c r="F68" s="3">
        <v>58.58</v>
      </c>
      <c r="G68" s="3" t="s">
        <v>82</v>
      </c>
      <c r="H68" s="4">
        <v>0</v>
      </c>
      <c r="I68" s="50">
        <v>44608</v>
      </c>
      <c r="J68" s="50">
        <v>44616</v>
      </c>
      <c r="K68" s="54">
        <f>VLOOKUP(J68,SEMANAS!$B$1:$C$301,2,0)</f>
        <v>28</v>
      </c>
      <c r="L68" s="3">
        <v>5</v>
      </c>
      <c r="M68" s="6">
        <v>2297.5</v>
      </c>
      <c r="N68" s="58">
        <f>M68*H68</f>
        <v>0</v>
      </c>
      <c r="O68" s="181"/>
      <c r="P68" s="9"/>
      <c r="Q68" s="9"/>
      <c r="R68" s="9"/>
      <c r="S68" s="93">
        <f>O68*M68</f>
        <v>0</v>
      </c>
      <c r="T68" s="13">
        <v>44631</v>
      </c>
      <c r="U68" s="15">
        <v>44638</v>
      </c>
      <c r="V68" s="15">
        <v>5</v>
      </c>
      <c r="W68" s="12">
        <v>2297.5</v>
      </c>
      <c r="X68" s="17" t="s">
        <v>854</v>
      </c>
      <c r="Y68" s="17"/>
      <c r="Z68" s="17"/>
      <c r="AA68" s="17"/>
      <c r="AB68" s="191">
        <f>IFERROR(VLOOKUP(D68,MTMO!$A$5:$B$34,2,0),0)</f>
        <v>0.31868131868131866</v>
      </c>
      <c r="AC68" s="191">
        <f>IFERROR(VLOOKUP(D68,MTMO!$A$5:$C$34,3,0),0)</f>
        <v>0.68131868131868134</v>
      </c>
      <c r="AD68" s="192">
        <f>AB68*M68</f>
        <v>732.17032967032958</v>
      </c>
      <c r="AE68" s="192">
        <f>AC68*M68</f>
        <v>1565.3296703296703</v>
      </c>
      <c r="AF68" s="193">
        <f>I68-15</f>
        <v>44593</v>
      </c>
      <c r="AG68" s="193">
        <f>J68+15</f>
        <v>44631</v>
      </c>
    </row>
    <row r="69" spans="1:33">
      <c r="A69" s="18" t="s">
        <v>910</v>
      </c>
      <c r="B69" s="21" t="s">
        <v>967</v>
      </c>
      <c r="C69" s="18" t="s">
        <v>860</v>
      </c>
      <c r="D69" s="21" t="s">
        <v>503</v>
      </c>
      <c r="E69" s="18" t="s">
        <v>861</v>
      </c>
      <c r="F69" s="3">
        <v>58.58</v>
      </c>
      <c r="G69" s="3" t="s">
        <v>82</v>
      </c>
      <c r="H69" s="4">
        <v>0</v>
      </c>
      <c r="I69" s="50">
        <v>44616</v>
      </c>
      <c r="J69" s="50">
        <v>44623</v>
      </c>
      <c r="K69" s="54">
        <f>VLOOKUP(J69,SEMANAS!$B$1:$C$301,2,0)</f>
        <v>29</v>
      </c>
      <c r="L69" s="3">
        <v>5</v>
      </c>
      <c r="M69" s="6">
        <v>2297.5</v>
      </c>
      <c r="N69" s="58">
        <f>M69*H69</f>
        <v>0</v>
      </c>
      <c r="O69" s="181"/>
      <c r="P69" s="9"/>
      <c r="Q69" s="9"/>
      <c r="R69" s="9"/>
      <c r="S69" s="93">
        <f>O69*M69</f>
        <v>0</v>
      </c>
      <c r="T69" s="13">
        <v>44638</v>
      </c>
      <c r="U69" s="15">
        <v>44645</v>
      </c>
      <c r="V69" s="15">
        <v>5</v>
      </c>
      <c r="W69" s="12">
        <v>2297.5</v>
      </c>
      <c r="X69" s="17" t="s">
        <v>854</v>
      </c>
      <c r="Y69" s="17"/>
      <c r="Z69" s="17"/>
      <c r="AA69" s="17"/>
      <c r="AB69" s="191">
        <f>IFERROR(VLOOKUP(D69,MTMO!$A$5:$B$34,2,0),0)</f>
        <v>0.31868131868131866</v>
      </c>
      <c r="AC69" s="191">
        <f>IFERROR(VLOOKUP(D69,MTMO!$A$5:$C$34,3,0),0)</f>
        <v>0.68131868131868134</v>
      </c>
      <c r="AD69" s="192">
        <f>AB69*M69</f>
        <v>732.17032967032958</v>
      </c>
      <c r="AE69" s="192">
        <f>AC69*M69</f>
        <v>1565.3296703296703</v>
      </c>
      <c r="AF69" s="193">
        <f>I69-15</f>
        <v>44601</v>
      </c>
      <c r="AG69" s="193">
        <f>J69+15</f>
        <v>44638</v>
      </c>
    </row>
    <row r="70" spans="1:33">
      <c r="A70" s="18" t="s">
        <v>911</v>
      </c>
      <c r="B70" s="21" t="s">
        <v>967</v>
      </c>
      <c r="C70" s="18" t="s">
        <v>863</v>
      </c>
      <c r="D70" s="21" t="s">
        <v>503</v>
      </c>
      <c r="E70" s="18" t="s">
        <v>864</v>
      </c>
      <c r="F70" s="3">
        <v>58.58</v>
      </c>
      <c r="G70" s="3" t="s">
        <v>82</v>
      </c>
      <c r="H70" s="4">
        <v>0</v>
      </c>
      <c r="I70" s="50">
        <v>44623</v>
      </c>
      <c r="J70" s="50">
        <v>44630</v>
      </c>
      <c r="K70" s="54">
        <f>VLOOKUP(J70,SEMANAS!$B$1:$C$301,2,0)</f>
        <v>30</v>
      </c>
      <c r="L70" s="3">
        <v>5</v>
      </c>
      <c r="M70" s="6">
        <v>2297.5</v>
      </c>
      <c r="N70" s="58">
        <f>M70*H70</f>
        <v>0</v>
      </c>
      <c r="O70" s="181"/>
      <c r="P70" s="9"/>
      <c r="Q70" s="9"/>
      <c r="R70" s="9"/>
      <c r="S70" s="93">
        <f>O70*M70</f>
        <v>0</v>
      </c>
      <c r="T70" s="13">
        <v>44645</v>
      </c>
      <c r="U70" s="15">
        <v>44652</v>
      </c>
      <c r="V70" s="15">
        <v>5</v>
      </c>
      <c r="W70" s="12">
        <v>2297.5</v>
      </c>
      <c r="X70" s="17" t="s">
        <v>854</v>
      </c>
      <c r="Y70" s="17"/>
      <c r="Z70" s="17"/>
      <c r="AA70" s="17"/>
      <c r="AB70" s="191">
        <f>IFERROR(VLOOKUP(D70,MTMO!$A$5:$B$34,2,0),0)</f>
        <v>0.31868131868131866</v>
      </c>
      <c r="AC70" s="191">
        <f>IFERROR(VLOOKUP(D70,MTMO!$A$5:$C$34,3,0),0)</f>
        <v>0.68131868131868134</v>
      </c>
      <c r="AD70" s="192">
        <f>AB70*M70</f>
        <v>732.17032967032958</v>
      </c>
      <c r="AE70" s="192">
        <f>AC70*M70</f>
        <v>1565.3296703296703</v>
      </c>
      <c r="AF70" s="193">
        <f>I70-15</f>
        <v>44608</v>
      </c>
      <c r="AG70" s="193">
        <f>J70+15</f>
        <v>44645</v>
      </c>
    </row>
    <row r="71" spans="1:33" ht="15.75" thickBot="1">
      <c r="A71" s="18" t="s">
        <v>912</v>
      </c>
      <c r="B71" s="21" t="s">
        <v>967</v>
      </c>
      <c r="C71" s="18" t="s">
        <v>866</v>
      </c>
      <c r="D71" s="21" t="s">
        <v>503</v>
      </c>
      <c r="E71" s="18" t="s">
        <v>867</v>
      </c>
      <c r="F71" s="3">
        <v>58.58</v>
      </c>
      <c r="G71" s="3" t="s">
        <v>82</v>
      </c>
      <c r="H71" s="4">
        <v>0</v>
      </c>
      <c r="I71" s="50">
        <v>44630</v>
      </c>
      <c r="J71" s="50">
        <v>44637</v>
      </c>
      <c r="K71" s="54">
        <f>VLOOKUP(J71,SEMANAS!$B$1:$C$301,2,0)</f>
        <v>31</v>
      </c>
      <c r="L71" s="3">
        <v>5</v>
      </c>
      <c r="M71" s="6">
        <v>2297.5</v>
      </c>
      <c r="N71" s="58">
        <f>M71*H71</f>
        <v>0</v>
      </c>
      <c r="O71" s="181"/>
      <c r="P71" s="9"/>
      <c r="Q71" s="9"/>
      <c r="R71" s="9"/>
      <c r="S71" s="93">
        <f>O71*M71</f>
        <v>0</v>
      </c>
      <c r="T71" s="13">
        <v>44652</v>
      </c>
      <c r="U71" s="15">
        <v>44659</v>
      </c>
      <c r="V71" s="15">
        <v>5</v>
      </c>
      <c r="W71" s="12">
        <v>2297.5</v>
      </c>
      <c r="X71" s="17" t="s">
        <v>854</v>
      </c>
      <c r="Y71" s="17"/>
      <c r="Z71" s="17"/>
      <c r="AA71" s="17"/>
      <c r="AB71" s="191">
        <f>IFERROR(VLOOKUP(D71,MTMO!$A$5:$B$34,2,0),0)</f>
        <v>0.31868131868131866</v>
      </c>
      <c r="AC71" s="191">
        <f>IFERROR(VLOOKUP(D71,MTMO!$A$5:$C$34,3,0),0)</f>
        <v>0.68131868131868134</v>
      </c>
      <c r="AD71" s="192">
        <f>AB71*M71</f>
        <v>732.17032967032958</v>
      </c>
      <c r="AE71" s="192">
        <f>AC71*M71</f>
        <v>1565.3296703296703</v>
      </c>
      <c r="AF71" s="193">
        <f>I71-15</f>
        <v>44615</v>
      </c>
      <c r="AG71" s="193">
        <f>J71+15</f>
        <v>44652</v>
      </c>
    </row>
    <row r="72" spans="1:33" ht="15.75" thickBot="1">
      <c r="A72" s="22">
        <v>-17</v>
      </c>
      <c r="B72" s="23" t="s">
        <v>966</v>
      </c>
      <c r="C72" s="24">
        <v>17</v>
      </c>
      <c r="D72" s="23"/>
      <c r="E72" s="24" t="s">
        <v>529</v>
      </c>
      <c r="F72" s="25">
        <v>16</v>
      </c>
      <c r="G72" s="25" t="s">
        <v>213</v>
      </c>
      <c r="H72" s="25">
        <v>0</v>
      </c>
      <c r="I72" s="51">
        <v>44616</v>
      </c>
      <c r="J72" s="51">
        <v>44644</v>
      </c>
      <c r="K72" s="55">
        <f>VLOOKUP(J72,SEMANAS!$B$1:$C$301,2,0)</f>
        <v>32</v>
      </c>
      <c r="L72" s="25">
        <v>20</v>
      </c>
      <c r="M72" s="26">
        <v>5600</v>
      </c>
      <c r="N72" s="57"/>
      <c r="O72" s="180"/>
      <c r="P72" s="27"/>
      <c r="Q72" s="27"/>
      <c r="R72" s="28"/>
      <c r="S72" s="183"/>
      <c r="T72" s="29">
        <v>44638</v>
      </c>
      <c r="U72" s="29">
        <v>44666</v>
      </c>
      <c r="V72" s="30">
        <v>20</v>
      </c>
      <c r="W72" s="31">
        <v>5600</v>
      </c>
      <c r="X72" s="32" t="s">
        <v>854</v>
      </c>
      <c r="Y72" s="32"/>
      <c r="Z72" s="32"/>
      <c r="AA72" s="33"/>
      <c r="AB72" s="189"/>
      <c r="AC72" s="189"/>
      <c r="AD72" s="189"/>
      <c r="AE72" s="189"/>
      <c r="AF72" s="190"/>
      <c r="AG72" s="190"/>
    </row>
    <row r="73" spans="1:33">
      <c r="A73" s="18" t="s">
        <v>530</v>
      </c>
      <c r="B73" s="21" t="s">
        <v>967</v>
      </c>
      <c r="C73" s="18" t="s">
        <v>857</v>
      </c>
      <c r="D73" s="21" t="s">
        <v>529</v>
      </c>
      <c r="E73" s="18" t="s">
        <v>858</v>
      </c>
      <c r="F73" s="3">
        <v>4</v>
      </c>
      <c r="G73" s="3" t="s">
        <v>213</v>
      </c>
      <c r="H73" s="3">
        <v>0</v>
      </c>
      <c r="I73" s="50">
        <v>44616</v>
      </c>
      <c r="J73" s="50">
        <v>44623</v>
      </c>
      <c r="K73" s="54">
        <f>VLOOKUP(J73,SEMANAS!$B$1:$C$301,2,0)</f>
        <v>29</v>
      </c>
      <c r="L73" s="3">
        <v>5</v>
      </c>
      <c r="M73" s="6">
        <v>1400</v>
      </c>
      <c r="N73" s="58">
        <f>M73*H73</f>
        <v>0</v>
      </c>
      <c r="O73" s="181"/>
      <c r="P73" s="11"/>
      <c r="Q73" s="9"/>
      <c r="R73" s="9"/>
      <c r="S73" s="93">
        <f>O73*M73</f>
        <v>0</v>
      </c>
      <c r="T73" s="15">
        <v>44638</v>
      </c>
      <c r="U73" s="15">
        <v>44645</v>
      </c>
      <c r="V73" s="13">
        <v>5</v>
      </c>
      <c r="W73" s="12">
        <v>1400</v>
      </c>
      <c r="X73" s="17" t="s">
        <v>854</v>
      </c>
      <c r="Y73" s="17"/>
      <c r="Z73" s="17"/>
      <c r="AA73" s="17"/>
      <c r="AB73" s="191">
        <f>IFERROR(VLOOKUP(D73,MTMO!$A$5:$B$34,2,0),0)</f>
        <v>1</v>
      </c>
      <c r="AC73" s="191">
        <f>IFERROR(VLOOKUP(D73,MTMO!$A$5:$C$34,3,0),0)</f>
        <v>0</v>
      </c>
      <c r="AD73" s="192">
        <f>AB73*M73</f>
        <v>1400</v>
      </c>
      <c r="AE73" s="192">
        <f>AC73*M73</f>
        <v>0</v>
      </c>
      <c r="AF73" s="193">
        <f>I73-15</f>
        <v>44601</v>
      </c>
      <c r="AG73" s="193">
        <f>J73+15</f>
        <v>44638</v>
      </c>
    </row>
    <row r="74" spans="1:33">
      <c r="A74" s="18" t="s">
        <v>913</v>
      </c>
      <c r="B74" s="21" t="s">
        <v>967</v>
      </c>
      <c r="C74" s="18" t="s">
        <v>860</v>
      </c>
      <c r="D74" s="21" t="s">
        <v>529</v>
      </c>
      <c r="E74" s="18" t="s">
        <v>861</v>
      </c>
      <c r="F74" s="3">
        <v>4</v>
      </c>
      <c r="G74" s="3" t="s">
        <v>213</v>
      </c>
      <c r="H74" s="3">
        <v>0</v>
      </c>
      <c r="I74" s="50">
        <v>44623</v>
      </c>
      <c r="J74" s="50">
        <v>44630</v>
      </c>
      <c r="K74" s="54">
        <f>VLOOKUP(J74,SEMANAS!$B$1:$C$301,2,0)</f>
        <v>30</v>
      </c>
      <c r="L74" s="3">
        <v>5</v>
      </c>
      <c r="M74" s="6">
        <v>1400</v>
      </c>
      <c r="N74" s="58">
        <f>M74*H74</f>
        <v>0</v>
      </c>
      <c r="O74" s="181"/>
      <c r="P74" s="11"/>
      <c r="Q74" s="9"/>
      <c r="R74" s="9"/>
      <c r="S74" s="93">
        <f>O74*M74</f>
        <v>0</v>
      </c>
      <c r="T74" s="15">
        <v>44645</v>
      </c>
      <c r="U74" s="15">
        <v>44652</v>
      </c>
      <c r="V74" s="13">
        <v>5</v>
      </c>
      <c r="W74" s="12">
        <v>1400</v>
      </c>
      <c r="X74" s="17" t="s">
        <v>854</v>
      </c>
      <c r="Y74" s="17"/>
      <c r="Z74" s="17"/>
      <c r="AA74" s="17"/>
      <c r="AB74" s="191">
        <f>IFERROR(VLOOKUP(D74,MTMO!$A$5:$B$34,2,0),0)</f>
        <v>1</v>
      </c>
      <c r="AC74" s="191">
        <f>IFERROR(VLOOKUP(D74,MTMO!$A$5:$C$34,3,0),0)</f>
        <v>0</v>
      </c>
      <c r="AD74" s="192">
        <f>AB74*M74</f>
        <v>1400</v>
      </c>
      <c r="AE74" s="192">
        <f>AC74*M74</f>
        <v>0</v>
      </c>
      <c r="AF74" s="193">
        <f>I74-15</f>
        <v>44608</v>
      </c>
      <c r="AG74" s="193">
        <f>J74+15</f>
        <v>44645</v>
      </c>
    </row>
    <row r="75" spans="1:33">
      <c r="A75" s="18" t="s">
        <v>914</v>
      </c>
      <c r="B75" s="21" t="s">
        <v>967</v>
      </c>
      <c r="C75" s="18" t="s">
        <v>863</v>
      </c>
      <c r="D75" s="21" t="s">
        <v>529</v>
      </c>
      <c r="E75" s="18" t="s">
        <v>864</v>
      </c>
      <c r="F75" s="3">
        <v>4</v>
      </c>
      <c r="G75" s="3" t="s">
        <v>213</v>
      </c>
      <c r="H75" s="3">
        <v>0</v>
      </c>
      <c r="I75" s="50">
        <v>44630</v>
      </c>
      <c r="J75" s="50">
        <v>44637</v>
      </c>
      <c r="K75" s="54">
        <f>VLOOKUP(J75,SEMANAS!$B$1:$C$301,2,0)</f>
        <v>31</v>
      </c>
      <c r="L75" s="3">
        <v>5</v>
      </c>
      <c r="M75" s="6">
        <v>1400</v>
      </c>
      <c r="N75" s="58">
        <f>M75*H75</f>
        <v>0</v>
      </c>
      <c r="O75" s="181"/>
      <c r="P75" s="11"/>
      <c r="Q75" s="9"/>
      <c r="R75" s="9"/>
      <c r="S75" s="93">
        <f>O75*M75</f>
        <v>0</v>
      </c>
      <c r="T75" s="15">
        <v>44652</v>
      </c>
      <c r="U75" s="15">
        <v>44659</v>
      </c>
      <c r="V75" s="13">
        <v>5</v>
      </c>
      <c r="W75" s="12">
        <v>1400</v>
      </c>
      <c r="X75" s="17" t="s">
        <v>854</v>
      </c>
      <c r="Y75" s="17"/>
      <c r="Z75" s="17"/>
      <c r="AA75" s="17"/>
      <c r="AB75" s="191">
        <f>IFERROR(VLOOKUP(D75,MTMO!$A$5:$B$34,2,0),0)</f>
        <v>1</v>
      </c>
      <c r="AC75" s="191">
        <f>IFERROR(VLOOKUP(D75,MTMO!$A$5:$C$34,3,0),0)</f>
        <v>0</v>
      </c>
      <c r="AD75" s="192">
        <f>AB75*M75</f>
        <v>1400</v>
      </c>
      <c r="AE75" s="192">
        <f>AC75*M75</f>
        <v>0</v>
      </c>
      <c r="AF75" s="193">
        <f>I75-15</f>
        <v>44615</v>
      </c>
      <c r="AG75" s="193">
        <f>J75+15</f>
        <v>44652</v>
      </c>
    </row>
    <row r="76" spans="1:33" ht="15.75" thickBot="1">
      <c r="A76" s="18" t="s">
        <v>915</v>
      </c>
      <c r="B76" s="21" t="s">
        <v>967</v>
      </c>
      <c r="C76" s="18" t="s">
        <v>866</v>
      </c>
      <c r="D76" s="21" t="s">
        <v>529</v>
      </c>
      <c r="E76" s="18" t="s">
        <v>867</v>
      </c>
      <c r="F76" s="3">
        <v>4</v>
      </c>
      <c r="G76" s="3" t="s">
        <v>213</v>
      </c>
      <c r="H76" s="3">
        <v>0</v>
      </c>
      <c r="I76" s="50">
        <v>44637</v>
      </c>
      <c r="J76" s="50">
        <v>44644</v>
      </c>
      <c r="K76" s="54">
        <f>VLOOKUP(J76,SEMANAS!$B$1:$C$301,2,0)</f>
        <v>32</v>
      </c>
      <c r="L76" s="3">
        <v>5</v>
      </c>
      <c r="M76" s="6">
        <v>1400</v>
      </c>
      <c r="N76" s="58">
        <f>M76*H76</f>
        <v>0</v>
      </c>
      <c r="O76" s="181"/>
      <c r="P76" s="11"/>
      <c r="Q76" s="9"/>
      <c r="R76" s="9"/>
      <c r="S76" s="93">
        <f>O76*M76</f>
        <v>0</v>
      </c>
      <c r="T76" s="15">
        <v>44659</v>
      </c>
      <c r="U76" s="15">
        <v>44666</v>
      </c>
      <c r="V76" s="13">
        <v>5</v>
      </c>
      <c r="W76" s="12">
        <v>1400</v>
      </c>
      <c r="X76" s="17" t="s">
        <v>854</v>
      </c>
      <c r="Y76" s="17"/>
      <c r="Z76" s="17"/>
      <c r="AA76" s="17"/>
      <c r="AB76" s="191">
        <f>IFERROR(VLOOKUP(D76,MTMO!$A$5:$B$34,2,0),0)</f>
        <v>1</v>
      </c>
      <c r="AC76" s="191">
        <f>IFERROR(VLOOKUP(D76,MTMO!$A$5:$C$34,3,0),0)</f>
        <v>0</v>
      </c>
      <c r="AD76" s="192">
        <f>AB76*M76</f>
        <v>1400</v>
      </c>
      <c r="AE76" s="192">
        <f>AC76*M76</f>
        <v>0</v>
      </c>
      <c r="AF76" s="193">
        <f>I76-15</f>
        <v>44622</v>
      </c>
      <c r="AG76" s="193">
        <f>J76+15</f>
        <v>44659</v>
      </c>
    </row>
    <row r="77" spans="1:33" ht="15.75" thickBot="1">
      <c r="A77" s="22">
        <v>-18</v>
      </c>
      <c r="B77" s="23" t="s">
        <v>966</v>
      </c>
      <c r="C77" s="24">
        <v>18</v>
      </c>
      <c r="D77" s="23"/>
      <c r="E77" s="24" t="s">
        <v>533</v>
      </c>
      <c r="F77" s="25">
        <v>311.93</v>
      </c>
      <c r="G77" s="25" t="s">
        <v>82</v>
      </c>
      <c r="H77" s="25">
        <v>0</v>
      </c>
      <c r="I77" s="51">
        <v>44616</v>
      </c>
      <c r="J77" s="51">
        <v>44644</v>
      </c>
      <c r="K77" s="55">
        <f>VLOOKUP(J77,SEMANAS!$B$1:$C$301,2,0)</f>
        <v>32</v>
      </c>
      <c r="L77" s="25">
        <v>20</v>
      </c>
      <c r="M77" s="26">
        <v>14469.2</v>
      </c>
      <c r="N77" s="57"/>
      <c r="O77" s="180"/>
      <c r="P77" s="27"/>
      <c r="Q77" s="27"/>
      <c r="R77" s="28"/>
      <c r="S77" s="183"/>
      <c r="T77" s="29">
        <v>44638</v>
      </c>
      <c r="U77" s="29">
        <v>44666</v>
      </c>
      <c r="V77" s="30">
        <v>20</v>
      </c>
      <c r="W77" s="31">
        <v>14469.2</v>
      </c>
      <c r="X77" s="32" t="s">
        <v>854</v>
      </c>
      <c r="Y77" s="32"/>
      <c r="Z77" s="32"/>
      <c r="AA77" s="33"/>
      <c r="AB77" s="189"/>
      <c r="AC77" s="189"/>
      <c r="AD77" s="189"/>
      <c r="AE77" s="189"/>
      <c r="AF77" s="190"/>
      <c r="AG77" s="190"/>
    </row>
    <row r="78" spans="1:33">
      <c r="A78" s="18" t="s">
        <v>916</v>
      </c>
      <c r="B78" s="21" t="s">
        <v>967</v>
      </c>
      <c r="C78" s="18" t="s">
        <v>857</v>
      </c>
      <c r="D78" s="21" t="s">
        <v>533</v>
      </c>
      <c r="E78" s="18" t="s">
        <v>858</v>
      </c>
      <c r="F78" s="3">
        <v>106.44</v>
      </c>
      <c r="G78" s="3" t="s">
        <v>82</v>
      </c>
      <c r="H78" s="3">
        <v>0</v>
      </c>
      <c r="I78" s="50">
        <v>44616</v>
      </c>
      <c r="J78" s="50">
        <v>44623</v>
      </c>
      <c r="K78" s="54">
        <f>VLOOKUP(J78,SEMANAS!$B$1:$C$301,2,0)</f>
        <v>29</v>
      </c>
      <c r="L78" s="3">
        <v>5</v>
      </c>
      <c r="M78" s="6">
        <v>4908.7</v>
      </c>
      <c r="N78" s="58">
        <f>M78*H78</f>
        <v>0</v>
      </c>
      <c r="O78" s="181"/>
      <c r="P78" s="11"/>
      <c r="Q78" s="9"/>
      <c r="R78" s="9"/>
      <c r="S78" s="93">
        <f>O78*M78</f>
        <v>0</v>
      </c>
      <c r="T78" s="15">
        <v>44638</v>
      </c>
      <c r="U78" s="15">
        <v>44645</v>
      </c>
      <c r="V78" s="13">
        <v>5</v>
      </c>
      <c r="W78" s="12">
        <v>4908.7</v>
      </c>
      <c r="X78" s="17" t="s">
        <v>854</v>
      </c>
      <c r="Y78" s="17"/>
      <c r="Z78" s="17"/>
      <c r="AA78" s="17"/>
      <c r="AB78" s="191">
        <f>IFERROR(VLOOKUP(D78,MTMO!$A$5:$B$34,2,0),0)</f>
        <v>0.28742225293711127</v>
      </c>
      <c r="AC78" s="191">
        <f>IFERROR(VLOOKUP(D78,MTMO!$A$5:$C$34,3,0),0)</f>
        <v>0.71257774706288879</v>
      </c>
      <c r="AD78" s="192">
        <f>AB78*M78</f>
        <v>1410.8696129923981</v>
      </c>
      <c r="AE78" s="192">
        <f>AC78*M78</f>
        <v>3497.830387007602</v>
      </c>
      <c r="AF78" s="193">
        <f>I78-15</f>
        <v>44601</v>
      </c>
      <c r="AG78" s="193">
        <f>J78+15</f>
        <v>44638</v>
      </c>
    </row>
    <row r="79" spans="1:33">
      <c r="A79" s="18" t="s">
        <v>917</v>
      </c>
      <c r="B79" s="21" t="s">
        <v>967</v>
      </c>
      <c r="C79" s="18" t="s">
        <v>860</v>
      </c>
      <c r="D79" s="21" t="s">
        <v>533</v>
      </c>
      <c r="E79" s="18" t="s">
        <v>861</v>
      </c>
      <c r="F79" s="3">
        <v>77.150000000000006</v>
      </c>
      <c r="G79" s="3" t="s">
        <v>82</v>
      </c>
      <c r="H79" s="3">
        <v>0</v>
      </c>
      <c r="I79" s="50">
        <v>44623</v>
      </c>
      <c r="J79" s="50">
        <v>44630</v>
      </c>
      <c r="K79" s="54">
        <f>VLOOKUP(J79,SEMANAS!$B$1:$C$301,2,0)</f>
        <v>30</v>
      </c>
      <c r="L79" s="3">
        <v>5</v>
      </c>
      <c r="M79" s="6">
        <v>3892.2</v>
      </c>
      <c r="N79" s="58">
        <f>M79*H79</f>
        <v>0</v>
      </c>
      <c r="O79" s="181"/>
      <c r="P79" s="11"/>
      <c r="Q79" s="9"/>
      <c r="R79" s="9"/>
      <c r="S79" s="93">
        <f>O79*M79</f>
        <v>0</v>
      </c>
      <c r="T79" s="15">
        <v>44645</v>
      </c>
      <c r="U79" s="15">
        <v>44652</v>
      </c>
      <c r="V79" s="13">
        <v>5</v>
      </c>
      <c r="W79" s="12">
        <v>3892.2</v>
      </c>
      <c r="X79" s="17" t="s">
        <v>854</v>
      </c>
      <c r="Y79" s="17"/>
      <c r="Z79" s="17"/>
      <c r="AA79" s="17"/>
      <c r="AB79" s="191">
        <f>IFERROR(VLOOKUP(D79,MTMO!$A$5:$B$34,2,0),0)</f>
        <v>0.28742225293711127</v>
      </c>
      <c r="AC79" s="191">
        <f>IFERROR(VLOOKUP(D79,MTMO!$A$5:$C$34,3,0),0)</f>
        <v>0.71257774706288879</v>
      </c>
      <c r="AD79" s="192">
        <f>AB79*M79</f>
        <v>1118.7048928818244</v>
      </c>
      <c r="AE79" s="192">
        <f>AC79*M79</f>
        <v>2773.4951071181758</v>
      </c>
      <c r="AF79" s="193">
        <f>I79-15</f>
        <v>44608</v>
      </c>
      <c r="AG79" s="193">
        <f>J79+15</f>
        <v>44645</v>
      </c>
    </row>
    <row r="80" spans="1:33">
      <c r="A80" s="18" t="s">
        <v>918</v>
      </c>
      <c r="B80" s="21" t="s">
        <v>967</v>
      </c>
      <c r="C80" s="18" t="s">
        <v>863</v>
      </c>
      <c r="D80" s="21" t="s">
        <v>533</v>
      </c>
      <c r="E80" s="18" t="s">
        <v>864</v>
      </c>
      <c r="F80" s="3">
        <v>77.150000000000006</v>
      </c>
      <c r="G80" s="3" t="s">
        <v>82</v>
      </c>
      <c r="H80" s="3">
        <v>0</v>
      </c>
      <c r="I80" s="50">
        <v>44630</v>
      </c>
      <c r="J80" s="50">
        <v>44637</v>
      </c>
      <c r="K80" s="54">
        <f>VLOOKUP(J80,SEMANAS!$B$1:$C$301,2,0)</f>
        <v>31</v>
      </c>
      <c r="L80" s="3">
        <v>5</v>
      </c>
      <c r="M80" s="6">
        <v>3892.2</v>
      </c>
      <c r="N80" s="58">
        <f>M80*H80</f>
        <v>0</v>
      </c>
      <c r="O80" s="181"/>
      <c r="P80" s="11"/>
      <c r="Q80" s="9"/>
      <c r="R80" s="9"/>
      <c r="S80" s="93">
        <f>O80*M80</f>
        <v>0</v>
      </c>
      <c r="T80" s="15">
        <v>44652</v>
      </c>
      <c r="U80" s="15">
        <v>44659</v>
      </c>
      <c r="V80" s="13">
        <v>5</v>
      </c>
      <c r="W80" s="12">
        <v>3892.2</v>
      </c>
      <c r="X80" s="17" t="s">
        <v>854</v>
      </c>
      <c r="Y80" s="17"/>
      <c r="Z80" s="17"/>
      <c r="AA80" s="17"/>
      <c r="AB80" s="191">
        <f>IFERROR(VLOOKUP(D80,MTMO!$A$5:$B$34,2,0),0)</f>
        <v>0.28742225293711127</v>
      </c>
      <c r="AC80" s="191">
        <f>IFERROR(VLOOKUP(D80,MTMO!$A$5:$C$34,3,0),0)</f>
        <v>0.71257774706288879</v>
      </c>
      <c r="AD80" s="192">
        <f>AB80*M80</f>
        <v>1118.7048928818244</v>
      </c>
      <c r="AE80" s="192">
        <f>AC80*M80</f>
        <v>2773.4951071181758</v>
      </c>
      <c r="AF80" s="193">
        <f>I80-15</f>
        <v>44615</v>
      </c>
      <c r="AG80" s="193">
        <f>J80+15</f>
        <v>44652</v>
      </c>
    </row>
    <row r="81" spans="1:33" ht="15.75" thickBot="1">
      <c r="A81" s="18" t="s">
        <v>919</v>
      </c>
      <c r="B81" s="21" t="s">
        <v>967</v>
      </c>
      <c r="C81" s="18" t="s">
        <v>866</v>
      </c>
      <c r="D81" s="21" t="s">
        <v>533</v>
      </c>
      <c r="E81" s="18" t="s">
        <v>867</v>
      </c>
      <c r="F81" s="3">
        <v>51.19</v>
      </c>
      <c r="G81" s="3" t="s">
        <v>82</v>
      </c>
      <c r="H81" s="3">
        <v>0</v>
      </c>
      <c r="I81" s="50">
        <v>44637</v>
      </c>
      <c r="J81" s="50">
        <v>44644</v>
      </c>
      <c r="K81" s="54">
        <f>VLOOKUP(J81,SEMANAS!$B$1:$C$301,2,0)</f>
        <v>32</v>
      </c>
      <c r="L81" s="3">
        <v>5</v>
      </c>
      <c r="M81" s="6">
        <v>1776.1</v>
      </c>
      <c r="N81" s="58">
        <f>M81*H81</f>
        <v>0</v>
      </c>
      <c r="O81" s="181"/>
      <c r="P81" s="11"/>
      <c r="Q81" s="9"/>
      <c r="R81" s="9"/>
      <c r="S81" s="93">
        <f>O81*M81</f>
        <v>0</v>
      </c>
      <c r="T81" s="15">
        <v>44659</v>
      </c>
      <c r="U81" s="15">
        <v>44666</v>
      </c>
      <c r="V81" s="13">
        <v>5</v>
      </c>
      <c r="W81" s="12">
        <v>1776.1</v>
      </c>
      <c r="X81" s="17" t="s">
        <v>854</v>
      </c>
      <c r="Y81" s="17"/>
      <c r="Z81" s="17"/>
      <c r="AA81" s="17"/>
      <c r="AB81" s="191">
        <f>IFERROR(VLOOKUP(D81,MTMO!$A$5:$B$34,2,0),0)</f>
        <v>0.28742225293711127</v>
      </c>
      <c r="AC81" s="191">
        <f>IFERROR(VLOOKUP(D81,MTMO!$A$5:$C$34,3,0),0)</f>
        <v>0.71257774706288879</v>
      </c>
      <c r="AD81" s="192">
        <f>AB81*M81</f>
        <v>510.49066344160332</v>
      </c>
      <c r="AE81" s="192">
        <f>AC81*M81</f>
        <v>1265.6093365583968</v>
      </c>
      <c r="AF81" s="193">
        <f>I81-15</f>
        <v>44622</v>
      </c>
      <c r="AG81" s="193">
        <f>J81+15</f>
        <v>44659</v>
      </c>
    </row>
    <row r="82" spans="1:33" ht="15.75" thickBot="1">
      <c r="A82" s="22">
        <v>-19</v>
      </c>
      <c r="B82" s="23" t="s">
        <v>966</v>
      </c>
      <c r="C82" s="24">
        <v>19</v>
      </c>
      <c r="D82" s="23"/>
      <c r="E82" s="24" t="s">
        <v>562</v>
      </c>
      <c r="F82" s="25">
        <v>2458.25</v>
      </c>
      <c r="G82" s="25" t="s">
        <v>82</v>
      </c>
      <c r="H82" s="25">
        <v>0</v>
      </c>
      <c r="I82" s="51">
        <v>44623</v>
      </c>
      <c r="J82" s="51">
        <v>44651</v>
      </c>
      <c r="K82" s="55">
        <f>VLOOKUP(J82,SEMANAS!$B$1:$C$301,2,0)</f>
        <v>33</v>
      </c>
      <c r="L82" s="25">
        <v>20</v>
      </c>
      <c r="M82" s="26">
        <v>59198.6</v>
      </c>
      <c r="N82" s="57"/>
      <c r="O82" s="180"/>
      <c r="P82" s="27"/>
      <c r="Q82" s="27"/>
      <c r="R82" s="28"/>
      <c r="S82" s="183"/>
      <c r="T82" s="29">
        <v>44645</v>
      </c>
      <c r="U82" s="29">
        <v>44673</v>
      </c>
      <c r="V82" s="30">
        <v>20</v>
      </c>
      <c r="W82" s="31">
        <v>59198.6</v>
      </c>
      <c r="X82" s="32" t="s">
        <v>854</v>
      </c>
      <c r="Y82" s="32"/>
      <c r="Z82" s="32"/>
      <c r="AA82" s="33"/>
      <c r="AB82" s="189"/>
      <c r="AC82" s="189"/>
      <c r="AD82" s="189"/>
      <c r="AE82" s="189"/>
      <c r="AF82" s="190"/>
      <c r="AG82" s="190"/>
    </row>
    <row r="83" spans="1:33">
      <c r="A83" s="18" t="s">
        <v>920</v>
      </c>
      <c r="B83" s="21" t="s">
        <v>967</v>
      </c>
      <c r="C83" s="18" t="s">
        <v>857</v>
      </c>
      <c r="D83" s="21" t="s">
        <v>562</v>
      </c>
      <c r="E83" s="18" t="s">
        <v>858</v>
      </c>
      <c r="F83" s="3">
        <v>613.75</v>
      </c>
      <c r="G83" s="3" t="s">
        <v>82</v>
      </c>
      <c r="H83" s="3">
        <v>0</v>
      </c>
      <c r="I83" s="50">
        <v>44623</v>
      </c>
      <c r="J83" s="50">
        <v>44630</v>
      </c>
      <c r="K83" s="54">
        <f>VLOOKUP(J83,SEMANAS!$B$1:$C$301,2,0)</f>
        <v>30</v>
      </c>
      <c r="L83" s="3">
        <v>5</v>
      </c>
      <c r="M83" s="6">
        <v>14782.4</v>
      </c>
      <c r="N83" s="58">
        <f>M83*H83</f>
        <v>0</v>
      </c>
      <c r="O83" s="181"/>
      <c r="P83" s="11"/>
      <c r="Q83" s="9"/>
      <c r="R83" s="9"/>
      <c r="S83" s="93">
        <f>O83*M83</f>
        <v>0</v>
      </c>
      <c r="T83" s="15">
        <v>44645</v>
      </c>
      <c r="U83" s="15">
        <v>44652</v>
      </c>
      <c r="V83" s="13">
        <v>5</v>
      </c>
      <c r="W83" s="12">
        <v>14782.4</v>
      </c>
      <c r="X83" s="17" t="s">
        <v>854</v>
      </c>
      <c r="Y83" s="17"/>
      <c r="Z83" s="17"/>
      <c r="AA83" s="17"/>
      <c r="AB83" s="191">
        <f>IFERROR(VLOOKUP(D83,MTMO!$A$5:$B$34,2,0),0)</f>
        <v>0.52623399439170238</v>
      </c>
      <c r="AC83" s="191">
        <f>IFERROR(VLOOKUP(D83,MTMO!$A$5:$C$34,3,0),0)</f>
        <v>0.47376600560829757</v>
      </c>
      <c r="AD83" s="192">
        <f>AB83*M83</f>
        <v>7779.0013986959011</v>
      </c>
      <c r="AE83" s="192">
        <f>AC83*M83</f>
        <v>7003.3986013040976</v>
      </c>
      <c r="AF83" s="193">
        <f>I83-15</f>
        <v>44608</v>
      </c>
      <c r="AG83" s="193">
        <f>J83+15</f>
        <v>44645</v>
      </c>
    </row>
    <row r="84" spans="1:33">
      <c r="A84" s="18" t="s">
        <v>921</v>
      </c>
      <c r="B84" s="21" t="s">
        <v>967</v>
      </c>
      <c r="C84" s="18" t="s">
        <v>860</v>
      </c>
      <c r="D84" s="21" t="s">
        <v>562</v>
      </c>
      <c r="E84" s="18" t="s">
        <v>861</v>
      </c>
      <c r="F84" s="3">
        <v>614.85</v>
      </c>
      <c r="G84" s="3" t="s">
        <v>82</v>
      </c>
      <c r="H84" s="3">
        <v>0</v>
      </c>
      <c r="I84" s="50">
        <v>44630</v>
      </c>
      <c r="J84" s="50">
        <v>44637</v>
      </c>
      <c r="K84" s="54">
        <f>VLOOKUP(J84,SEMANAS!$B$1:$C$301,2,0)</f>
        <v>31</v>
      </c>
      <c r="L84" s="3">
        <v>5</v>
      </c>
      <c r="M84" s="6">
        <v>14806.1</v>
      </c>
      <c r="N84" s="58">
        <f>M84*H84</f>
        <v>0</v>
      </c>
      <c r="O84" s="181"/>
      <c r="P84" s="11"/>
      <c r="Q84" s="9"/>
      <c r="R84" s="9"/>
      <c r="S84" s="93">
        <f>O84*M84</f>
        <v>0</v>
      </c>
      <c r="T84" s="15">
        <v>44652</v>
      </c>
      <c r="U84" s="15">
        <v>44659</v>
      </c>
      <c r="V84" s="13">
        <v>5</v>
      </c>
      <c r="W84" s="12">
        <v>14806.1</v>
      </c>
      <c r="X84" s="17" t="s">
        <v>854</v>
      </c>
      <c r="Y84" s="17"/>
      <c r="Z84" s="17"/>
      <c r="AA84" s="17"/>
      <c r="AB84" s="191">
        <f>IFERROR(VLOOKUP(D84,MTMO!$A$5:$B$34,2,0),0)</f>
        <v>0.52623399439170238</v>
      </c>
      <c r="AC84" s="191">
        <f>IFERROR(VLOOKUP(D84,MTMO!$A$5:$C$34,3,0),0)</f>
        <v>0.47376600560829757</v>
      </c>
      <c r="AD84" s="192">
        <f>AB84*M84</f>
        <v>7791.4731443629844</v>
      </c>
      <c r="AE84" s="192">
        <f>AC84*M84</f>
        <v>7014.6268556370151</v>
      </c>
      <c r="AF84" s="193">
        <f>I84-15</f>
        <v>44615</v>
      </c>
      <c r="AG84" s="193">
        <f>J84+15</f>
        <v>44652</v>
      </c>
    </row>
    <row r="85" spans="1:33">
      <c r="A85" s="18" t="s">
        <v>922</v>
      </c>
      <c r="B85" s="21" t="s">
        <v>967</v>
      </c>
      <c r="C85" s="18" t="s">
        <v>863</v>
      </c>
      <c r="D85" s="21" t="s">
        <v>562</v>
      </c>
      <c r="E85" s="18" t="s">
        <v>864</v>
      </c>
      <c r="F85" s="3">
        <v>614.85</v>
      </c>
      <c r="G85" s="3" t="s">
        <v>82</v>
      </c>
      <c r="H85" s="3">
        <v>0</v>
      </c>
      <c r="I85" s="50">
        <v>44637</v>
      </c>
      <c r="J85" s="50">
        <v>44644</v>
      </c>
      <c r="K85" s="54">
        <f>VLOOKUP(J85,SEMANAS!$B$1:$C$301,2,0)</f>
        <v>32</v>
      </c>
      <c r="L85" s="3">
        <v>5</v>
      </c>
      <c r="M85" s="6">
        <v>14806.1</v>
      </c>
      <c r="N85" s="58">
        <f>M85*H85</f>
        <v>0</v>
      </c>
      <c r="O85" s="181"/>
      <c r="P85" s="11"/>
      <c r="Q85" s="9"/>
      <c r="R85" s="9"/>
      <c r="S85" s="93">
        <f>O85*M85</f>
        <v>0</v>
      </c>
      <c r="T85" s="15">
        <v>44659</v>
      </c>
      <c r="U85" s="15">
        <v>44666</v>
      </c>
      <c r="V85" s="13">
        <v>5</v>
      </c>
      <c r="W85" s="12">
        <v>14806.1</v>
      </c>
      <c r="X85" s="17" t="s">
        <v>854</v>
      </c>
      <c r="Y85" s="17"/>
      <c r="Z85" s="17"/>
      <c r="AA85" s="17"/>
      <c r="AB85" s="191">
        <f>IFERROR(VLOOKUP(D85,MTMO!$A$5:$B$34,2,0),0)</f>
        <v>0.52623399439170238</v>
      </c>
      <c r="AC85" s="191">
        <f>IFERROR(VLOOKUP(D85,MTMO!$A$5:$C$34,3,0),0)</f>
        <v>0.47376600560829757</v>
      </c>
      <c r="AD85" s="192">
        <f>AB85*M85</f>
        <v>7791.4731443629844</v>
      </c>
      <c r="AE85" s="192">
        <f>AC85*M85</f>
        <v>7014.6268556370151</v>
      </c>
      <c r="AF85" s="193">
        <f>I85-15</f>
        <v>44622</v>
      </c>
      <c r="AG85" s="193">
        <f>J85+15</f>
        <v>44659</v>
      </c>
    </row>
    <row r="86" spans="1:33" ht="15.75" thickBot="1">
      <c r="A86" s="18" t="s">
        <v>923</v>
      </c>
      <c r="B86" s="21" t="s">
        <v>967</v>
      </c>
      <c r="C86" s="18" t="s">
        <v>866</v>
      </c>
      <c r="D86" s="21" t="s">
        <v>562</v>
      </c>
      <c r="E86" s="18" t="s">
        <v>867</v>
      </c>
      <c r="F86" s="3">
        <v>614.79</v>
      </c>
      <c r="G86" s="3" t="s">
        <v>82</v>
      </c>
      <c r="H86" s="3">
        <v>0</v>
      </c>
      <c r="I86" s="50">
        <v>44644</v>
      </c>
      <c r="J86" s="50">
        <v>44651</v>
      </c>
      <c r="K86" s="54">
        <f>VLOOKUP(J86,SEMANAS!$B$1:$C$301,2,0)</f>
        <v>33</v>
      </c>
      <c r="L86" s="3">
        <v>5</v>
      </c>
      <c r="M86" s="6">
        <v>14804</v>
      </c>
      <c r="N86" s="58">
        <f>M86*H86</f>
        <v>0</v>
      </c>
      <c r="O86" s="181"/>
      <c r="P86" s="11"/>
      <c r="Q86" s="9"/>
      <c r="R86" s="9"/>
      <c r="S86" s="93">
        <f>O86*M86</f>
        <v>0</v>
      </c>
      <c r="T86" s="15">
        <v>44666</v>
      </c>
      <c r="U86" s="15">
        <v>44673</v>
      </c>
      <c r="V86" s="13">
        <v>5</v>
      </c>
      <c r="W86" s="12">
        <v>14804</v>
      </c>
      <c r="X86" s="17" t="s">
        <v>854</v>
      </c>
      <c r="Y86" s="17"/>
      <c r="Z86" s="17"/>
      <c r="AA86" s="17"/>
      <c r="AB86" s="191">
        <f>IFERROR(VLOOKUP(D86,MTMO!$A$5:$B$34,2,0),0)</f>
        <v>0.52623399439170238</v>
      </c>
      <c r="AC86" s="191">
        <f>IFERROR(VLOOKUP(D86,MTMO!$A$5:$C$34,3,0),0)</f>
        <v>0.47376600560829757</v>
      </c>
      <c r="AD86" s="192">
        <f>AB86*M86</f>
        <v>7790.3680529747617</v>
      </c>
      <c r="AE86" s="192">
        <f>AC86*M86</f>
        <v>7013.6319470252374</v>
      </c>
      <c r="AF86" s="193">
        <f>I86-15</f>
        <v>44629</v>
      </c>
      <c r="AG86" s="193">
        <f>J86+15</f>
        <v>44666</v>
      </c>
    </row>
    <row r="87" spans="1:33" ht="15.75" thickBot="1">
      <c r="A87" s="22">
        <v>-20</v>
      </c>
      <c r="B87" s="23" t="s">
        <v>966</v>
      </c>
      <c r="C87" s="24">
        <v>20</v>
      </c>
      <c r="D87" s="23"/>
      <c r="E87" s="24" t="s">
        <v>589</v>
      </c>
      <c r="F87" s="25">
        <v>16.7</v>
      </c>
      <c r="G87" s="25" t="s">
        <v>5</v>
      </c>
      <c r="H87" s="25">
        <v>0</v>
      </c>
      <c r="I87" s="51">
        <v>44642</v>
      </c>
      <c r="J87" s="51">
        <v>44645</v>
      </c>
      <c r="K87" s="55">
        <f>VLOOKUP(J87,SEMANAS!$B$1:$C$301,2,0)</f>
        <v>32</v>
      </c>
      <c r="L87" s="25">
        <v>3</v>
      </c>
      <c r="M87" s="26">
        <v>8216.1</v>
      </c>
      <c r="N87" s="57"/>
      <c r="O87" s="180"/>
      <c r="P87" s="27"/>
      <c r="Q87" s="27"/>
      <c r="R87" s="28"/>
      <c r="S87" s="183"/>
      <c r="T87" s="29">
        <v>44652</v>
      </c>
      <c r="U87" s="29">
        <v>44669</v>
      </c>
      <c r="V87" s="30">
        <v>3</v>
      </c>
      <c r="W87" s="31">
        <v>8216.1</v>
      </c>
      <c r="X87" s="32" t="s">
        <v>854</v>
      </c>
      <c r="Y87" s="32"/>
      <c r="Z87" s="32"/>
      <c r="AA87" s="33"/>
      <c r="AB87" s="189"/>
      <c r="AC87" s="189"/>
      <c r="AD87" s="189"/>
      <c r="AE87" s="189"/>
      <c r="AF87" s="190"/>
      <c r="AG87" s="190"/>
    </row>
    <row r="88" spans="1:33">
      <c r="A88" s="18" t="s">
        <v>924</v>
      </c>
      <c r="B88" s="21" t="s">
        <v>967</v>
      </c>
      <c r="C88" s="18" t="s">
        <v>860</v>
      </c>
      <c r="D88" s="21" t="s">
        <v>589</v>
      </c>
      <c r="E88" s="18" t="s">
        <v>861</v>
      </c>
      <c r="F88" s="3">
        <v>5.57</v>
      </c>
      <c r="G88" s="3" t="s">
        <v>5</v>
      </c>
      <c r="H88" s="3">
        <v>0</v>
      </c>
      <c r="I88" s="50">
        <v>44642</v>
      </c>
      <c r="J88" s="50">
        <v>44643</v>
      </c>
      <c r="K88" s="54">
        <f>VLOOKUP(J88,SEMANAS!$B$1:$C$301,2,0)</f>
        <v>32</v>
      </c>
      <c r="L88" s="3">
        <v>1</v>
      </c>
      <c r="M88" s="6">
        <v>2738.7</v>
      </c>
      <c r="N88" s="58">
        <f>M88*H88</f>
        <v>0</v>
      </c>
      <c r="O88" s="181"/>
      <c r="P88" s="11"/>
      <c r="Q88" s="9"/>
      <c r="R88" s="9"/>
      <c r="S88" s="93">
        <f>O88*M88</f>
        <v>0</v>
      </c>
      <c r="T88" s="15">
        <v>44652</v>
      </c>
      <c r="U88" s="15">
        <v>44655</v>
      </c>
      <c r="V88" s="13">
        <v>1</v>
      </c>
      <c r="W88" s="12">
        <v>2738.7</v>
      </c>
      <c r="X88" s="17" t="s">
        <v>854</v>
      </c>
      <c r="Y88" s="17"/>
      <c r="Z88" s="17"/>
      <c r="AA88" s="17"/>
      <c r="AB88" s="191">
        <f>IFERROR(VLOOKUP(D88,MTMO!$A$5:$B$34,2,0),0)</f>
        <v>0</v>
      </c>
      <c r="AC88" s="191">
        <f>IFERROR(VLOOKUP(D88,MTMO!$A$5:$C$34,3,0),0)</f>
        <v>1</v>
      </c>
      <c r="AD88" s="192">
        <f>AB88*M88</f>
        <v>0</v>
      </c>
      <c r="AE88" s="192">
        <f>AC88*M88</f>
        <v>2738.7</v>
      </c>
      <c r="AF88" s="193">
        <f>I88-15</f>
        <v>44627</v>
      </c>
      <c r="AG88" s="193">
        <f>J88+15</f>
        <v>44658</v>
      </c>
    </row>
    <row r="89" spans="1:33">
      <c r="A89" s="18" t="s">
        <v>925</v>
      </c>
      <c r="B89" s="21" t="s">
        <v>967</v>
      </c>
      <c r="C89" s="18" t="s">
        <v>863</v>
      </c>
      <c r="D89" s="21" t="s">
        <v>589</v>
      </c>
      <c r="E89" s="18" t="s">
        <v>864</v>
      </c>
      <c r="F89" s="3">
        <v>5.57</v>
      </c>
      <c r="G89" s="3" t="s">
        <v>5</v>
      </c>
      <c r="H89" s="3">
        <v>0</v>
      </c>
      <c r="I89" s="50">
        <v>44643</v>
      </c>
      <c r="J89" s="50">
        <v>44644</v>
      </c>
      <c r="K89" s="54">
        <f>VLOOKUP(J89,SEMANAS!$B$1:$C$301,2,0)</f>
        <v>32</v>
      </c>
      <c r="L89" s="3">
        <v>1</v>
      </c>
      <c r="M89" s="6">
        <v>2738.7</v>
      </c>
      <c r="N89" s="58">
        <f>M89*H89</f>
        <v>0</v>
      </c>
      <c r="O89" s="181"/>
      <c r="P89" s="11"/>
      <c r="Q89" s="9"/>
      <c r="R89" s="9"/>
      <c r="S89" s="93">
        <f>O89*M89</f>
        <v>0</v>
      </c>
      <c r="T89" s="15">
        <v>44659</v>
      </c>
      <c r="U89" s="15">
        <v>44662</v>
      </c>
      <c r="V89" s="13">
        <v>1</v>
      </c>
      <c r="W89" s="12">
        <v>2738.7</v>
      </c>
      <c r="X89" s="17" t="s">
        <v>854</v>
      </c>
      <c r="Y89" s="17"/>
      <c r="Z89" s="17"/>
      <c r="AA89" s="17"/>
      <c r="AB89" s="191">
        <f>IFERROR(VLOOKUP(D89,MTMO!$A$5:$B$34,2,0),0)</f>
        <v>0</v>
      </c>
      <c r="AC89" s="191">
        <f>IFERROR(VLOOKUP(D89,MTMO!$A$5:$C$34,3,0),0)</f>
        <v>1</v>
      </c>
      <c r="AD89" s="192">
        <f>AB89*M89</f>
        <v>0</v>
      </c>
      <c r="AE89" s="192">
        <f>AC89*M89</f>
        <v>2738.7</v>
      </c>
      <c r="AF89" s="193">
        <f>I89-15</f>
        <v>44628</v>
      </c>
      <c r="AG89" s="193">
        <f>J89+15</f>
        <v>44659</v>
      </c>
    </row>
    <row r="90" spans="1:33" ht="15.75" thickBot="1">
      <c r="A90" s="18" t="s">
        <v>926</v>
      </c>
      <c r="B90" s="21" t="s">
        <v>967</v>
      </c>
      <c r="C90" s="18" t="s">
        <v>866</v>
      </c>
      <c r="D90" s="21" t="s">
        <v>589</v>
      </c>
      <c r="E90" s="18" t="s">
        <v>867</v>
      </c>
      <c r="F90" s="3">
        <v>5.57</v>
      </c>
      <c r="G90" s="3" t="s">
        <v>5</v>
      </c>
      <c r="H90" s="3">
        <v>0</v>
      </c>
      <c r="I90" s="50">
        <v>44644</v>
      </c>
      <c r="J90" s="50">
        <v>44645</v>
      </c>
      <c r="K90" s="54">
        <f>VLOOKUP(J90,SEMANAS!$B$1:$C$301,2,0)</f>
        <v>32</v>
      </c>
      <c r="L90" s="3">
        <v>1</v>
      </c>
      <c r="M90" s="6">
        <v>2738.7</v>
      </c>
      <c r="N90" s="58">
        <f>M90*H90</f>
        <v>0</v>
      </c>
      <c r="O90" s="181"/>
      <c r="P90" s="11"/>
      <c r="Q90" s="9"/>
      <c r="R90" s="9"/>
      <c r="S90" s="93">
        <f>O90*M90</f>
        <v>0</v>
      </c>
      <c r="T90" s="15">
        <v>44666</v>
      </c>
      <c r="U90" s="15">
        <v>44669</v>
      </c>
      <c r="V90" s="13">
        <v>1</v>
      </c>
      <c r="W90" s="12">
        <v>2738.7</v>
      </c>
      <c r="X90" s="17" t="s">
        <v>854</v>
      </c>
      <c r="Y90" s="17"/>
      <c r="Z90" s="17"/>
      <c r="AA90" s="17"/>
      <c r="AB90" s="191">
        <f>IFERROR(VLOOKUP(D90,MTMO!$A$5:$B$34,2,0),0)</f>
        <v>0</v>
      </c>
      <c r="AC90" s="191">
        <f>IFERROR(VLOOKUP(D90,MTMO!$A$5:$C$34,3,0),0)</f>
        <v>1</v>
      </c>
      <c r="AD90" s="192">
        <f>AB90*M90</f>
        <v>0</v>
      </c>
      <c r="AE90" s="192">
        <f>AC90*M90</f>
        <v>2738.7</v>
      </c>
      <c r="AF90" s="193">
        <f>I90-15</f>
        <v>44629</v>
      </c>
      <c r="AG90" s="193">
        <f>J90+15</f>
        <v>44660</v>
      </c>
    </row>
    <row r="91" spans="1:33" ht="15.75" thickBot="1">
      <c r="A91" s="22">
        <v>-21</v>
      </c>
      <c r="B91" s="23" t="s">
        <v>966</v>
      </c>
      <c r="C91" s="24">
        <v>21</v>
      </c>
      <c r="D91" s="23"/>
      <c r="E91" s="24" t="s">
        <v>599</v>
      </c>
      <c r="F91" s="25">
        <v>128</v>
      </c>
      <c r="G91" s="25" t="s">
        <v>30</v>
      </c>
      <c r="H91" s="25">
        <v>0</v>
      </c>
      <c r="I91" s="51">
        <v>44630</v>
      </c>
      <c r="J91" s="51">
        <v>44658</v>
      </c>
      <c r="K91" s="55">
        <f>VLOOKUP(J91,SEMANAS!$B$1:$C$301,2,0)</f>
        <v>34</v>
      </c>
      <c r="L91" s="25">
        <v>20</v>
      </c>
      <c r="M91" s="26">
        <v>20944.099999999999</v>
      </c>
      <c r="N91" s="57"/>
      <c r="O91" s="180"/>
      <c r="P91" s="27"/>
      <c r="Q91" s="27"/>
      <c r="R91" s="28"/>
      <c r="S91" s="183"/>
      <c r="T91" s="29">
        <v>44652</v>
      </c>
      <c r="U91" s="29">
        <v>44680</v>
      </c>
      <c r="V91" s="30">
        <v>20</v>
      </c>
      <c r="W91" s="31">
        <v>20944.099999999999</v>
      </c>
      <c r="X91" s="32" t="s">
        <v>854</v>
      </c>
      <c r="Y91" s="32"/>
      <c r="Z91" s="32"/>
      <c r="AA91" s="33"/>
      <c r="AB91" s="189"/>
      <c r="AC91" s="189"/>
      <c r="AD91" s="189"/>
      <c r="AE91" s="189"/>
      <c r="AF91" s="190"/>
      <c r="AG91" s="190"/>
    </row>
    <row r="92" spans="1:33">
      <c r="A92" s="18" t="s">
        <v>927</v>
      </c>
      <c r="B92" s="21" t="s">
        <v>967</v>
      </c>
      <c r="C92" s="18" t="s">
        <v>857</v>
      </c>
      <c r="D92" s="21" t="s">
        <v>599</v>
      </c>
      <c r="E92" s="18" t="s">
        <v>858</v>
      </c>
      <c r="F92" s="3">
        <v>32</v>
      </c>
      <c r="G92" s="3" t="s">
        <v>30</v>
      </c>
      <c r="H92" s="3">
        <v>0</v>
      </c>
      <c r="I92" s="50">
        <v>44630</v>
      </c>
      <c r="J92" s="50">
        <v>44637</v>
      </c>
      <c r="K92" s="54">
        <f>VLOOKUP(J92,SEMANAS!$B$1:$C$301,2,0)</f>
        <v>31</v>
      </c>
      <c r="L92" s="3">
        <v>5</v>
      </c>
      <c r="M92" s="6">
        <v>5236</v>
      </c>
      <c r="N92" s="58">
        <f>M92*H92</f>
        <v>0</v>
      </c>
      <c r="O92" s="181"/>
      <c r="P92" s="11"/>
      <c r="Q92" s="9"/>
      <c r="R92" s="9"/>
      <c r="S92" s="93">
        <f>O92*M92</f>
        <v>0</v>
      </c>
      <c r="T92" s="15">
        <v>44652</v>
      </c>
      <c r="U92" s="15">
        <v>44659</v>
      </c>
      <c r="V92" s="13">
        <v>5</v>
      </c>
      <c r="W92" s="12">
        <v>5236</v>
      </c>
      <c r="X92" s="17" t="s">
        <v>854</v>
      </c>
      <c r="Y92" s="17"/>
      <c r="Z92" s="17"/>
      <c r="AA92" s="17"/>
      <c r="AB92" s="191">
        <f>IFERROR(VLOOKUP(D92,MTMO!$A$5:$B$34,2,0),0)</f>
        <v>0.15279568352194051</v>
      </c>
      <c r="AC92" s="191">
        <f>IFERROR(VLOOKUP(D92,MTMO!$A$5:$C$34,3,0),0)</f>
        <v>0.84720431647805949</v>
      </c>
      <c r="AD92" s="192">
        <f>AB92*M92</f>
        <v>800.03819892088052</v>
      </c>
      <c r="AE92" s="192">
        <f>AC92*M92</f>
        <v>4435.9618010791191</v>
      </c>
      <c r="AF92" s="193">
        <f>I92-15</f>
        <v>44615</v>
      </c>
      <c r="AG92" s="193">
        <f>J92+15</f>
        <v>44652</v>
      </c>
    </row>
    <row r="93" spans="1:33">
      <c r="A93" s="18" t="s">
        <v>928</v>
      </c>
      <c r="B93" s="21" t="s">
        <v>967</v>
      </c>
      <c r="C93" s="18" t="s">
        <v>860</v>
      </c>
      <c r="D93" s="21" t="s">
        <v>599</v>
      </c>
      <c r="E93" s="18" t="s">
        <v>861</v>
      </c>
      <c r="F93" s="3">
        <v>32</v>
      </c>
      <c r="G93" s="3" t="s">
        <v>30</v>
      </c>
      <c r="H93" s="3">
        <v>0</v>
      </c>
      <c r="I93" s="50">
        <v>44637</v>
      </c>
      <c r="J93" s="50">
        <v>44644</v>
      </c>
      <c r="K93" s="54">
        <f>VLOOKUP(J93,SEMANAS!$B$1:$C$301,2,0)</f>
        <v>32</v>
      </c>
      <c r="L93" s="3">
        <v>5</v>
      </c>
      <c r="M93" s="6">
        <v>5236</v>
      </c>
      <c r="N93" s="58">
        <f>M93*H93</f>
        <v>0</v>
      </c>
      <c r="O93" s="181"/>
      <c r="P93" s="11"/>
      <c r="Q93" s="9"/>
      <c r="R93" s="9"/>
      <c r="S93" s="93">
        <f>O93*M93</f>
        <v>0</v>
      </c>
      <c r="T93" s="15">
        <v>44659</v>
      </c>
      <c r="U93" s="15">
        <v>44666</v>
      </c>
      <c r="V93" s="13">
        <v>5</v>
      </c>
      <c r="W93" s="12">
        <v>5236</v>
      </c>
      <c r="X93" s="17" t="s">
        <v>854</v>
      </c>
      <c r="Y93" s="17"/>
      <c r="Z93" s="17"/>
      <c r="AA93" s="17"/>
      <c r="AB93" s="191">
        <f>IFERROR(VLOOKUP(D93,MTMO!$A$5:$B$34,2,0),0)</f>
        <v>0.15279568352194051</v>
      </c>
      <c r="AC93" s="191">
        <f>IFERROR(VLOOKUP(D93,MTMO!$A$5:$C$34,3,0),0)</f>
        <v>0.84720431647805949</v>
      </c>
      <c r="AD93" s="192">
        <f>AB93*M93</f>
        <v>800.03819892088052</v>
      </c>
      <c r="AE93" s="192">
        <f>AC93*M93</f>
        <v>4435.9618010791191</v>
      </c>
      <c r="AF93" s="193">
        <f>I93-15</f>
        <v>44622</v>
      </c>
      <c r="AG93" s="193">
        <f>J93+15</f>
        <v>44659</v>
      </c>
    </row>
    <row r="94" spans="1:33">
      <c r="A94" s="18" t="s">
        <v>929</v>
      </c>
      <c r="B94" s="21" t="s">
        <v>967</v>
      </c>
      <c r="C94" s="18" t="s">
        <v>863</v>
      </c>
      <c r="D94" s="21" t="s">
        <v>599</v>
      </c>
      <c r="E94" s="18" t="s">
        <v>864</v>
      </c>
      <c r="F94" s="3">
        <v>32</v>
      </c>
      <c r="G94" s="3" t="s">
        <v>30</v>
      </c>
      <c r="H94" s="3">
        <v>0</v>
      </c>
      <c r="I94" s="50">
        <v>44644</v>
      </c>
      <c r="J94" s="50">
        <v>44651</v>
      </c>
      <c r="K94" s="54">
        <f>VLOOKUP(J94,SEMANAS!$B$1:$C$301,2,0)</f>
        <v>33</v>
      </c>
      <c r="L94" s="3">
        <v>5</v>
      </c>
      <c r="M94" s="6">
        <v>5236</v>
      </c>
      <c r="N94" s="58">
        <f>M94*H94</f>
        <v>0</v>
      </c>
      <c r="O94" s="181"/>
      <c r="P94" s="11"/>
      <c r="Q94" s="9"/>
      <c r="R94" s="9"/>
      <c r="S94" s="93">
        <f>O94*M94</f>
        <v>0</v>
      </c>
      <c r="T94" s="15">
        <v>44666</v>
      </c>
      <c r="U94" s="15">
        <v>44673</v>
      </c>
      <c r="V94" s="13">
        <v>5</v>
      </c>
      <c r="W94" s="12">
        <v>5236</v>
      </c>
      <c r="X94" s="17" t="s">
        <v>854</v>
      </c>
      <c r="Y94" s="17"/>
      <c r="Z94" s="17"/>
      <c r="AA94" s="17"/>
      <c r="AB94" s="191">
        <f>IFERROR(VLOOKUP(D94,MTMO!$A$5:$B$34,2,0),0)</f>
        <v>0.15279568352194051</v>
      </c>
      <c r="AC94" s="191">
        <f>IFERROR(VLOOKUP(D94,MTMO!$A$5:$C$34,3,0),0)</f>
        <v>0.84720431647805949</v>
      </c>
      <c r="AD94" s="192">
        <f>AB94*M94</f>
        <v>800.03819892088052</v>
      </c>
      <c r="AE94" s="192">
        <f>AC94*M94</f>
        <v>4435.9618010791191</v>
      </c>
      <c r="AF94" s="193">
        <f>I94-15</f>
        <v>44629</v>
      </c>
      <c r="AG94" s="193">
        <f>J94+15</f>
        <v>44666</v>
      </c>
    </row>
    <row r="95" spans="1:33" ht="15.75" thickBot="1">
      <c r="A95" s="18" t="s">
        <v>930</v>
      </c>
      <c r="B95" s="21" t="s">
        <v>967</v>
      </c>
      <c r="C95" s="18" t="s">
        <v>866</v>
      </c>
      <c r="D95" s="21" t="s">
        <v>599</v>
      </c>
      <c r="E95" s="18" t="s">
        <v>867</v>
      </c>
      <c r="F95" s="3">
        <v>32</v>
      </c>
      <c r="G95" s="3" t="s">
        <v>30</v>
      </c>
      <c r="H95" s="3">
        <v>0</v>
      </c>
      <c r="I95" s="50">
        <v>44651</v>
      </c>
      <c r="J95" s="50">
        <v>44658</v>
      </c>
      <c r="K95" s="54">
        <f>VLOOKUP(J95,SEMANAS!$B$1:$C$301,2,0)</f>
        <v>34</v>
      </c>
      <c r="L95" s="3">
        <v>5</v>
      </c>
      <c r="M95" s="6">
        <v>5236</v>
      </c>
      <c r="N95" s="58">
        <f>M95*H95</f>
        <v>0</v>
      </c>
      <c r="O95" s="181"/>
      <c r="P95" s="11"/>
      <c r="Q95" s="9"/>
      <c r="R95" s="9"/>
      <c r="S95" s="93">
        <f>O95*M95</f>
        <v>0</v>
      </c>
      <c r="T95" s="15">
        <v>44673</v>
      </c>
      <c r="U95" s="15">
        <v>44680</v>
      </c>
      <c r="V95" s="13">
        <v>5</v>
      </c>
      <c r="W95" s="12">
        <v>5236</v>
      </c>
      <c r="X95" s="17" t="s">
        <v>854</v>
      </c>
      <c r="Y95" s="17"/>
      <c r="Z95" s="17"/>
      <c r="AA95" s="17"/>
      <c r="AB95" s="191">
        <f>IFERROR(VLOOKUP(D95,MTMO!$A$5:$B$34,2,0),0)</f>
        <v>0.15279568352194051</v>
      </c>
      <c r="AC95" s="191">
        <f>IFERROR(VLOOKUP(D95,MTMO!$A$5:$C$34,3,0),0)</f>
        <v>0.84720431647805949</v>
      </c>
      <c r="AD95" s="192">
        <f>AB95*M95</f>
        <v>800.03819892088052</v>
      </c>
      <c r="AE95" s="192">
        <f>AC95*M95</f>
        <v>4435.9618010791191</v>
      </c>
      <c r="AF95" s="193">
        <f>I95-15</f>
        <v>44636</v>
      </c>
      <c r="AG95" s="193">
        <f>J95+15</f>
        <v>44673</v>
      </c>
    </row>
    <row r="96" spans="1:33" ht="15.75" thickBot="1">
      <c r="A96" s="22">
        <v>-22</v>
      </c>
      <c r="B96" s="23" t="s">
        <v>966</v>
      </c>
      <c r="C96" s="24">
        <v>22</v>
      </c>
      <c r="D96" s="23"/>
      <c r="E96" s="24" t="s">
        <v>634</v>
      </c>
      <c r="F96" s="25">
        <v>647.01</v>
      </c>
      <c r="G96" s="25" t="s">
        <v>82</v>
      </c>
      <c r="H96" s="25">
        <v>0</v>
      </c>
      <c r="I96" s="51">
        <v>44658</v>
      </c>
      <c r="J96" s="51">
        <v>44686</v>
      </c>
      <c r="K96" s="55">
        <f>VLOOKUP(J96,SEMANAS!$B$1:$C$301,2,0)</f>
        <v>38</v>
      </c>
      <c r="L96" s="25">
        <v>20</v>
      </c>
      <c r="M96" s="26">
        <v>52685</v>
      </c>
      <c r="N96" s="57"/>
      <c r="O96" s="180"/>
      <c r="P96" s="27"/>
      <c r="Q96" s="27"/>
      <c r="R96" s="28"/>
      <c r="S96" s="183"/>
      <c r="T96" s="29">
        <v>44677</v>
      </c>
      <c r="U96" s="29">
        <v>44705</v>
      </c>
      <c r="V96" s="30">
        <v>20</v>
      </c>
      <c r="W96" s="31">
        <v>52685</v>
      </c>
      <c r="X96" s="32" t="s">
        <v>854</v>
      </c>
      <c r="Y96" s="32"/>
      <c r="Z96" s="32"/>
      <c r="AA96" s="33"/>
      <c r="AB96" s="189"/>
      <c r="AC96" s="189"/>
      <c r="AD96" s="189"/>
      <c r="AE96" s="189"/>
      <c r="AF96" s="190"/>
      <c r="AG96" s="190"/>
    </row>
    <row r="97" spans="1:33">
      <c r="A97" s="18" t="s">
        <v>931</v>
      </c>
      <c r="B97" s="21" t="s">
        <v>967</v>
      </c>
      <c r="C97" s="18" t="s">
        <v>857</v>
      </c>
      <c r="D97" s="21" t="s">
        <v>634</v>
      </c>
      <c r="E97" s="18" t="s">
        <v>858</v>
      </c>
      <c r="F97" s="3">
        <v>161.75</v>
      </c>
      <c r="G97" s="3" t="s">
        <v>82</v>
      </c>
      <c r="H97" s="4">
        <v>0</v>
      </c>
      <c r="I97" s="50">
        <v>44658</v>
      </c>
      <c r="J97" s="50">
        <v>44665</v>
      </c>
      <c r="K97" s="54">
        <f>VLOOKUP(J97,SEMANAS!$B$1:$C$301,2,0)</f>
        <v>35</v>
      </c>
      <c r="L97" s="3">
        <v>5</v>
      </c>
      <c r="M97" s="6">
        <v>13171.3</v>
      </c>
      <c r="N97" s="58">
        <f>M97*H97</f>
        <v>0</v>
      </c>
      <c r="O97" s="181"/>
      <c r="P97" s="9"/>
      <c r="Q97" s="9"/>
      <c r="R97" s="9"/>
      <c r="S97" s="93">
        <f>O97*M97</f>
        <v>0</v>
      </c>
      <c r="T97" s="13">
        <v>44677</v>
      </c>
      <c r="U97" s="15">
        <v>44684</v>
      </c>
      <c r="V97" s="15">
        <v>5</v>
      </c>
      <c r="W97" s="12">
        <v>13171.3</v>
      </c>
      <c r="X97" s="17" t="s">
        <v>854</v>
      </c>
      <c r="Y97" s="17"/>
      <c r="Z97" s="17"/>
      <c r="AA97" s="17"/>
      <c r="AB97" s="191">
        <f>IFERROR(VLOOKUP(D97,MTMO!$A$5:$B$34,2,0),0)</f>
        <v>0.15351618107620765</v>
      </c>
      <c r="AC97" s="191">
        <f>IFERROR(VLOOKUP(D97,MTMO!$A$5:$C$34,3,0),0)</f>
        <v>0.84648381892379232</v>
      </c>
      <c r="AD97" s="192">
        <f>AB97*M97</f>
        <v>2022.0076758090538</v>
      </c>
      <c r="AE97" s="192">
        <f>AC97*M97</f>
        <v>11149.292324190945</v>
      </c>
      <c r="AF97" s="193">
        <f>I97-15</f>
        <v>44643</v>
      </c>
      <c r="AG97" s="193">
        <f>J97+15</f>
        <v>44680</v>
      </c>
    </row>
    <row r="98" spans="1:33">
      <c r="A98" s="18" t="s">
        <v>932</v>
      </c>
      <c r="B98" s="21" t="s">
        <v>967</v>
      </c>
      <c r="C98" s="18" t="s">
        <v>860</v>
      </c>
      <c r="D98" s="21" t="s">
        <v>634</v>
      </c>
      <c r="E98" s="18" t="s">
        <v>861</v>
      </c>
      <c r="F98" s="3">
        <v>161.75</v>
      </c>
      <c r="G98" s="3" t="s">
        <v>82</v>
      </c>
      <c r="H98" s="4">
        <v>0</v>
      </c>
      <c r="I98" s="50">
        <v>44665</v>
      </c>
      <c r="J98" s="50">
        <v>44672</v>
      </c>
      <c r="K98" s="54">
        <f>VLOOKUP(J98,SEMANAS!$B$1:$C$301,2,0)</f>
        <v>36</v>
      </c>
      <c r="L98" s="3">
        <v>5</v>
      </c>
      <c r="M98" s="6">
        <v>13171.3</v>
      </c>
      <c r="N98" s="58">
        <f>M98*H98</f>
        <v>0</v>
      </c>
      <c r="O98" s="181"/>
      <c r="P98" s="9"/>
      <c r="Q98" s="9"/>
      <c r="R98" s="9"/>
      <c r="S98" s="93">
        <f>O98*M98</f>
        <v>0</v>
      </c>
      <c r="T98" s="13">
        <v>44684</v>
      </c>
      <c r="U98" s="15">
        <v>44691</v>
      </c>
      <c r="V98" s="15">
        <v>5</v>
      </c>
      <c r="W98" s="12">
        <v>13171.3</v>
      </c>
      <c r="X98" s="17" t="s">
        <v>854</v>
      </c>
      <c r="Y98" s="17"/>
      <c r="Z98" s="17"/>
      <c r="AA98" s="17"/>
      <c r="AB98" s="191">
        <f>IFERROR(VLOOKUP(D98,MTMO!$A$5:$B$34,2,0),0)</f>
        <v>0.15351618107620765</v>
      </c>
      <c r="AC98" s="191">
        <f>IFERROR(VLOOKUP(D98,MTMO!$A$5:$C$34,3,0),0)</f>
        <v>0.84648381892379232</v>
      </c>
      <c r="AD98" s="192">
        <f>AB98*M98</f>
        <v>2022.0076758090538</v>
      </c>
      <c r="AE98" s="192">
        <f>AC98*M98</f>
        <v>11149.292324190945</v>
      </c>
      <c r="AF98" s="193">
        <f>I98-15</f>
        <v>44650</v>
      </c>
      <c r="AG98" s="193">
        <f>J98+15</f>
        <v>44687</v>
      </c>
    </row>
    <row r="99" spans="1:33">
      <c r="A99" s="18" t="s">
        <v>933</v>
      </c>
      <c r="B99" s="21" t="s">
        <v>967</v>
      </c>
      <c r="C99" s="18" t="s">
        <v>863</v>
      </c>
      <c r="D99" s="21" t="s">
        <v>634</v>
      </c>
      <c r="E99" s="18" t="s">
        <v>864</v>
      </c>
      <c r="F99" s="3">
        <v>161.75</v>
      </c>
      <c r="G99" s="3" t="s">
        <v>82</v>
      </c>
      <c r="H99" s="4">
        <v>0</v>
      </c>
      <c r="I99" s="50">
        <v>44672</v>
      </c>
      <c r="J99" s="50">
        <v>44679</v>
      </c>
      <c r="K99" s="54">
        <f>VLOOKUP(J99,SEMANAS!$B$1:$C$301,2,0)</f>
        <v>37</v>
      </c>
      <c r="L99" s="3">
        <v>5</v>
      </c>
      <c r="M99" s="6">
        <v>13171.3</v>
      </c>
      <c r="N99" s="58">
        <f>M99*H99</f>
        <v>0</v>
      </c>
      <c r="O99" s="181"/>
      <c r="P99" s="9"/>
      <c r="Q99" s="9"/>
      <c r="R99" s="9"/>
      <c r="S99" s="93">
        <f>O99*M99</f>
        <v>0</v>
      </c>
      <c r="T99" s="13">
        <v>44691</v>
      </c>
      <c r="U99" s="15">
        <v>44698</v>
      </c>
      <c r="V99" s="15">
        <v>5</v>
      </c>
      <c r="W99" s="12">
        <v>13171.3</v>
      </c>
      <c r="X99" s="17" t="s">
        <v>854</v>
      </c>
      <c r="Y99" s="17"/>
      <c r="Z99" s="17"/>
      <c r="AA99" s="17"/>
      <c r="AB99" s="191">
        <f>IFERROR(VLOOKUP(D99,MTMO!$A$5:$B$34,2,0),0)</f>
        <v>0.15351618107620765</v>
      </c>
      <c r="AC99" s="191">
        <f>IFERROR(VLOOKUP(D99,MTMO!$A$5:$C$34,3,0),0)</f>
        <v>0.84648381892379232</v>
      </c>
      <c r="AD99" s="192">
        <f>AB99*M99</f>
        <v>2022.0076758090538</v>
      </c>
      <c r="AE99" s="192">
        <f>AC99*M99</f>
        <v>11149.292324190945</v>
      </c>
      <c r="AF99" s="193">
        <f>I99-15</f>
        <v>44657</v>
      </c>
      <c r="AG99" s="193">
        <f>J99+15</f>
        <v>44694</v>
      </c>
    </row>
    <row r="100" spans="1:33" ht="15.75" thickBot="1">
      <c r="A100" s="18" t="s">
        <v>934</v>
      </c>
      <c r="B100" s="21" t="s">
        <v>967</v>
      </c>
      <c r="C100" s="18" t="s">
        <v>866</v>
      </c>
      <c r="D100" s="21" t="s">
        <v>634</v>
      </c>
      <c r="E100" s="18" t="s">
        <v>867</v>
      </c>
      <c r="F100" s="3">
        <v>161.75</v>
      </c>
      <c r="G100" s="3" t="s">
        <v>82</v>
      </c>
      <c r="H100" s="4">
        <v>0</v>
      </c>
      <c r="I100" s="50">
        <v>44679</v>
      </c>
      <c r="J100" s="50">
        <v>44686</v>
      </c>
      <c r="K100" s="54">
        <f>VLOOKUP(J100,SEMANAS!$B$1:$C$301,2,0)</f>
        <v>38</v>
      </c>
      <c r="L100" s="3">
        <v>5</v>
      </c>
      <c r="M100" s="6">
        <v>13171.3</v>
      </c>
      <c r="N100" s="58">
        <f>M100*H100</f>
        <v>0</v>
      </c>
      <c r="O100" s="181"/>
      <c r="P100" s="9"/>
      <c r="Q100" s="9"/>
      <c r="R100" s="9"/>
      <c r="S100" s="93">
        <f>O100*M100</f>
        <v>0</v>
      </c>
      <c r="T100" s="13">
        <v>44698</v>
      </c>
      <c r="U100" s="15">
        <v>44705</v>
      </c>
      <c r="V100" s="15">
        <v>5</v>
      </c>
      <c r="W100" s="12">
        <v>13171.3</v>
      </c>
      <c r="X100" s="17" t="s">
        <v>854</v>
      </c>
      <c r="Y100" s="17"/>
      <c r="Z100" s="17"/>
      <c r="AA100" s="17"/>
      <c r="AB100" s="191">
        <f>IFERROR(VLOOKUP(D100,MTMO!$A$5:$B$34,2,0),0)</f>
        <v>0.15351618107620765</v>
      </c>
      <c r="AC100" s="191">
        <f>IFERROR(VLOOKUP(D100,MTMO!$A$5:$C$34,3,0),0)</f>
        <v>0.84648381892379232</v>
      </c>
      <c r="AD100" s="192">
        <f>AB100*M100</f>
        <v>2022.0076758090538</v>
      </c>
      <c r="AE100" s="192">
        <f>AC100*M100</f>
        <v>11149.292324190945</v>
      </c>
      <c r="AF100" s="193">
        <f>I100-15</f>
        <v>44664</v>
      </c>
      <c r="AG100" s="193">
        <f>J100+15</f>
        <v>44701</v>
      </c>
    </row>
    <row r="101" spans="1:33" ht="15.75" thickBot="1">
      <c r="A101" s="22">
        <v>-30</v>
      </c>
      <c r="B101" s="23" t="s">
        <v>966</v>
      </c>
      <c r="C101" s="24">
        <v>23</v>
      </c>
      <c r="D101" s="23"/>
      <c r="E101" s="24" t="s">
        <v>662</v>
      </c>
      <c r="F101" s="25">
        <v>80</v>
      </c>
      <c r="G101" s="25" t="s">
        <v>50</v>
      </c>
      <c r="H101" s="25">
        <v>0</v>
      </c>
      <c r="I101" s="51">
        <v>44651</v>
      </c>
      <c r="J101" s="51">
        <v>44665</v>
      </c>
      <c r="K101" s="55">
        <f>VLOOKUP(J101,SEMANAS!$B$1:$C$301,2,0)</f>
        <v>35</v>
      </c>
      <c r="L101" s="25">
        <v>10</v>
      </c>
      <c r="M101" s="26">
        <v>41600</v>
      </c>
      <c r="N101" s="57"/>
      <c r="O101" s="180"/>
      <c r="P101" s="27"/>
      <c r="Q101" s="27"/>
      <c r="R101" s="28"/>
      <c r="S101" s="183"/>
      <c r="T101" s="29">
        <v>44666</v>
      </c>
      <c r="U101" s="29">
        <v>44687</v>
      </c>
      <c r="V101" s="30">
        <v>10</v>
      </c>
      <c r="W101" s="31">
        <v>41600</v>
      </c>
      <c r="X101" s="32" t="s">
        <v>854</v>
      </c>
      <c r="Y101" s="32"/>
      <c r="Z101" s="32"/>
      <c r="AA101" s="33"/>
      <c r="AB101" s="189"/>
      <c r="AC101" s="189"/>
      <c r="AD101" s="189"/>
      <c r="AE101" s="189"/>
      <c r="AF101" s="190"/>
      <c r="AG101" s="190"/>
    </row>
    <row r="102" spans="1:33">
      <c r="A102" s="18" t="s">
        <v>961</v>
      </c>
      <c r="B102" s="21" t="s">
        <v>967</v>
      </c>
      <c r="C102" s="18" t="s">
        <v>857</v>
      </c>
      <c r="D102" s="21" t="s">
        <v>662</v>
      </c>
      <c r="E102" s="18" t="s">
        <v>858</v>
      </c>
      <c r="F102" s="3">
        <v>20</v>
      </c>
      <c r="G102" s="3" t="s">
        <v>50</v>
      </c>
      <c r="H102" s="3">
        <v>0</v>
      </c>
      <c r="I102" s="50">
        <v>44651</v>
      </c>
      <c r="J102" s="50">
        <v>44655</v>
      </c>
      <c r="K102" s="54">
        <f>VLOOKUP(J102,SEMANAS!$B$1:$C$301,2,0)</f>
        <v>34</v>
      </c>
      <c r="L102" s="3">
        <v>2.5</v>
      </c>
      <c r="M102" s="6">
        <v>10400</v>
      </c>
      <c r="N102" s="58">
        <f>M102*H102</f>
        <v>0</v>
      </c>
      <c r="O102" s="181"/>
      <c r="P102" s="11"/>
      <c r="Q102" s="9"/>
      <c r="R102" s="9"/>
      <c r="S102" s="93">
        <f>O102*M102</f>
        <v>0</v>
      </c>
      <c r="T102" s="15">
        <v>44666</v>
      </c>
      <c r="U102" s="15">
        <v>44670</v>
      </c>
      <c r="V102" s="13">
        <v>2.5</v>
      </c>
      <c r="W102" s="12">
        <v>10400</v>
      </c>
      <c r="X102" s="17" t="s">
        <v>854</v>
      </c>
      <c r="Y102" s="17"/>
      <c r="Z102" s="17"/>
      <c r="AA102" s="17"/>
      <c r="AB102" s="191">
        <f>IFERROR(VLOOKUP(D102,MTMO!$A$5:$B$34,2,0),0)</f>
        <v>0.15384615384615385</v>
      </c>
      <c r="AC102" s="191">
        <f>IFERROR(VLOOKUP(D102,MTMO!$A$5:$C$34,3,0),0)</f>
        <v>0.84615384615384615</v>
      </c>
      <c r="AD102" s="192">
        <f>AB102*M102</f>
        <v>1600</v>
      </c>
      <c r="AE102" s="192">
        <f>AC102*M102</f>
        <v>8800</v>
      </c>
      <c r="AF102" s="193">
        <f>I102-15</f>
        <v>44636</v>
      </c>
      <c r="AG102" s="193">
        <f>J102+15</f>
        <v>44670</v>
      </c>
    </row>
    <row r="103" spans="1:33">
      <c r="A103" s="18" t="s">
        <v>962</v>
      </c>
      <c r="B103" s="21" t="s">
        <v>967</v>
      </c>
      <c r="C103" s="18" t="s">
        <v>860</v>
      </c>
      <c r="D103" s="21" t="s">
        <v>662</v>
      </c>
      <c r="E103" s="18" t="s">
        <v>861</v>
      </c>
      <c r="F103" s="3">
        <v>20</v>
      </c>
      <c r="G103" s="3" t="s">
        <v>50</v>
      </c>
      <c r="H103" s="3">
        <v>0</v>
      </c>
      <c r="I103" s="50">
        <v>44655</v>
      </c>
      <c r="J103" s="50">
        <v>44658</v>
      </c>
      <c r="K103" s="54">
        <f>VLOOKUP(J103,SEMANAS!$B$1:$C$301,2,0)</f>
        <v>34</v>
      </c>
      <c r="L103" s="3">
        <v>2.5</v>
      </c>
      <c r="M103" s="6">
        <v>10400</v>
      </c>
      <c r="N103" s="58">
        <f>M103*H103</f>
        <v>0</v>
      </c>
      <c r="O103" s="181"/>
      <c r="P103" s="11"/>
      <c r="Q103" s="9"/>
      <c r="R103" s="9"/>
      <c r="S103" s="93">
        <f>O103*M103</f>
        <v>0</v>
      </c>
      <c r="T103" s="15">
        <v>44673</v>
      </c>
      <c r="U103" s="15">
        <v>44677</v>
      </c>
      <c r="V103" s="13">
        <v>2.5</v>
      </c>
      <c r="W103" s="12">
        <v>10400</v>
      </c>
      <c r="X103" s="17" t="s">
        <v>854</v>
      </c>
      <c r="Y103" s="17"/>
      <c r="Z103" s="17"/>
      <c r="AA103" s="17"/>
      <c r="AB103" s="191">
        <f>IFERROR(VLOOKUP(D103,MTMO!$A$5:$B$34,2,0),0)</f>
        <v>0.15384615384615385</v>
      </c>
      <c r="AC103" s="191">
        <f>IFERROR(VLOOKUP(D103,MTMO!$A$5:$C$34,3,0),0)</f>
        <v>0.84615384615384615</v>
      </c>
      <c r="AD103" s="192">
        <f>AB103*M103</f>
        <v>1600</v>
      </c>
      <c r="AE103" s="192">
        <f>AC103*M103</f>
        <v>8800</v>
      </c>
      <c r="AF103" s="193">
        <f>I103-15</f>
        <v>44640</v>
      </c>
      <c r="AG103" s="193">
        <f>J103+15</f>
        <v>44673</v>
      </c>
    </row>
    <row r="104" spans="1:33">
      <c r="A104" s="18" t="s">
        <v>963</v>
      </c>
      <c r="B104" s="21" t="s">
        <v>967</v>
      </c>
      <c r="C104" s="18" t="s">
        <v>863</v>
      </c>
      <c r="D104" s="21" t="s">
        <v>662</v>
      </c>
      <c r="E104" s="18" t="s">
        <v>864</v>
      </c>
      <c r="F104" s="3">
        <v>20</v>
      </c>
      <c r="G104" s="3" t="s">
        <v>50</v>
      </c>
      <c r="H104" s="3">
        <v>0</v>
      </c>
      <c r="I104" s="50">
        <v>44658</v>
      </c>
      <c r="J104" s="50">
        <v>44662</v>
      </c>
      <c r="K104" s="54">
        <f>VLOOKUP(J104,SEMANAS!$B$1:$C$301,2,0)</f>
        <v>35</v>
      </c>
      <c r="L104" s="3">
        <v>2.5</v>
      </c>
      <c r="M104" s="6">
        <v>10400</v>
      </c>
      <c r="N104" s="58">
        <f>M104*H104</f>
        <v>0</v>
      </c>
      <c r="O104" s="181"/>
      <c r="P104" s="11"/>
      <c r="Q104" s="9"/>
      <c r="R104" s="9"/>
      <c r="S104" s="93">
        <f>O104*M104</f>
        <v>0</v>
      </c>
      <c r="T104" s="15">
        <v>44680</v>
      </c>
      <c r="U104" s="15">
        <v>44684</v>
      </c>
      <c r="V104" s="13">
        <v>2.5</v>
      </c>
      <c r="W104" s="12">
        <v>10400</v>
      </c>
      <c r="X104" s="17" t="s">
        <v>854</v>
      </c>
      <c r="Y104" s="17"/>
      <c r="Z104" s="17"/>
      <c r="AA104" s="17"/>
      <c r="AB104" s="191">
        <f>IFERROR(VLOOKUP(D104,MTMO!$A$5:$B$34,2,0),0)</f>
        <v>0.15384615384615385</v>
      </c>
      <c r="AC104" s="191">
        <f>IFERROR(VLOOKUP(D104,MTMO!$A$5:$C$34,3,0),0)</f>
        <v>0.84615384615384615</v>
      </c>
      <c r="AD104" s="192">
        <f>AB104*M104</f>
        <v>1600</v>
      </c>
      <c r="AE104" s="192">
        <f>AC104*M104</f>
        <v>8800</v>
      </c>
      <c r="AF104" s="193">
        <f>I104-15</f>
        <v>44643</v>
      </c>
      <c r="AG104" s="193">
        <f>J104+15</f>
        <v>44677</v>
      </c>
    </row>
    <row r="105" spans="1:33" ht="15.75" thickBot="1">
      <c r="A105" s="18" t="s">
        <v>964</v>
      </c>
      <c r="B105" s="21" t="s">
        <v>967</v>
      </c>
      <c r="C105" s="18" t="s">
        <v>866</v>
      </c>
      <c r="D105" s="21" t="s">
        <v>662</v>
      </c>
      <c r="E105" s="18" t="s">
        <v>867</v>
      </c>
      <c r="F105" s="3">
        <v>20</v>
      </c>
      <c r="G105" s="3" t="s">
        <v>50</v>
      </c>
      <c r="H105" s="3">
        <v>0</v>
      </c>
      <c r="I105" s="50">
        <v>44662</v>
      </c>
      <c r="J105" s="50">
        <v>44665</v>
      </c>
      <c r="K105" s="54">
        <f>VLOOKUP(J105,SEMANAS!$B$1:$C$301,2,0)</f>
        <v>35</v>
      </c>
      <c r="L105" s="3">
        <v>2.5</v>
      </c>
      <c r="M105" s="6">
        <v>10400</v>
      </c>
      <c r="N105" s="58">
        <f>M105*H105</f>
        <v>0</v>
      </c>
      <c r="O105" s="181"/>
      <c r="P105" s="11"/>
      <c r="Q105" s="9"/>
      <c r="R105" s="9"/>
      <c r="S105" s="93">
        <f>O105*M105</f>
        <v>0</v>
      </c>
      <c r="T105" s="15">
        <v>44684</v>
      </c>
      <c r="U105" s="15">
        <v>44687</v>
      </c>
      <c r="V105" s="13">
        <v>2.5</v>
      </c>
      <c r="W105" s="12">
        <v>10400</v>
      </c>
      <c r="X105" s="17" t="s">
        <v>854</v>
      </c>
      <c r="Y105" s="17"/>
      <c r="Z105" s="17"/>
      <c r="AA105" s="17"/>
      <c r="AB105" s="191">
        <f>IFERROR(VLOOKUP(D105,MTMO!$A$5:$B$34,2,0),0)</f>
        <v>0.15384615384615385</v>
      </c>
      <c r="AC105" s="191">
        <f>IFERROR(VLOOKUP(D105,MTMO!$A$5:$C$34,3,0),0)</f>
        <v>0.84615384615384615</v>
      </c>
      <c r="AD105" s="192">
        <f>AB105*M105</f>
        <v>1600</v>
      </c>
      <c r="AE105" s="192">
        <f>AC105*M105</f>
        <v>8800</v>
      </c>
      <c r="AF105" s="193">
        <f>I105-15</f>
        <v>44647</v>
      </c>
      <c r="AG105" s="193">
        <f>J105+15</f>
        <v>44680</v>
      </c>
    </row>
    <row r="106" spans="1:33" ht="15.75" thickBot="1">
      <c r="A106" s="22">
        <v>-23</v>
      </c>
      <c r="B106" s="23" t="s">
        <v>966</v>
      </c>
      <c r="C106" s="24">
        <v>24</v>
      </c>
      <c r="D106" s="23"/>
      <c r="E106" s="24" t="s">
        <v>675</v>
      </c>
      <c r="F106" s="25">
        <v>96</v>
      </c>
      <c r="G106" s="25" t="s">
        <v>30</v>
      </c>
      <c r="H106" s="25">
        <v>0</v>
      </c>
      <c r="I106" s="51">
        <v>44676</v>
      </c>
      <c r="J106" s="51">
        <v>44690</v>
      </c>
      <c r="K106" s="55">
        <f>VLOOKUP(J106,SEMANAS!$B$1:$C$301,2,0)</f>
        <v>39</v>
      </c>
      <c r="L106" s="25">
        <v>10</v>
      </c>
      <c r="M106" s="26">
        <v>5360.2</v>
      </c>
      <c r="N106" s="57"/>
      <c r="O106" s="180"/>
      <c r="P106" s="27"/>
      <c r="Q106" s="27"/>
      <c r="R106" s="28"/>
      <c r="S106" s="183"/>
      <c r="T106" s="29">
        <v>44684</v>
      </c>
      <c r="U106" s="29">
        <v>44708</v>
      </c>
      <c r="V106" s="30">
        <v>10</v>
      </c>
      <c r="W106" s="31">
        <v>5360.2</v>
      </c>
      <c r="X106" s="32" t="s">
        <v>854</v>
      </c>
      <c r="Y106" s="32"/>
      <c r="Z106" s="32"/>
      <c r="AA106" s="33"/>
      <c r="AB106" s="189"/>
      <c r="AC106" s="189"/>
      <c r="AD106" s="189"/>
      <c r="AE106" s="189"/>
      <c r="AF106" s="190"/>
      <c r="AG106" s="190"/>
    </row>
    <row r="107" spans="1:33">
      <c r="A107" s="18" t="s">
        <v>935</v>
      </c>
      <c r="B107" s="21" t="s">
        <v>967</v>
      </c>
      <c r="C107" s="18" t="s">
        <v>857</v>
      </c>
      <c r="D107" s="21" t="s">
        <v>675</v>
      </c>
      <c r="E107" s="18" t="s">
        <v>858</v>
      </c>
      <c r="F107" s="3">
        <v>24</v>
      </c>
      <c r="G107" s="3" t="s">
        <v>30</v>
      </c>
      <c r="H107" s="3">
        <v>0</v>
      </c>
      <c r="I107" s="50">
        <v>44676</v>
      </c>
      <c r="J107" s="50">
        <v>44679</v>
      </c>
      <c r="K107" s="54">
        <f>VLOOKUP(J107,SEMANAS!$B$1:$C$301,2,0)</f>
        <v>37</v>
      </c>
      <c r="L107" s="3">
        <v>2.5</v>
      </c>
      <c r="M107" s="6">
        <v>1340</v>
      </c>
      <c r="N107" s="58">
        <f>M107*H107</f>
        <v>0</v>
      </c>
      <c r="O107" s="181"/>
      <c r="P107" s="11"/>
      <c r="Q107" s="9"/>
      <c r="R107" s="9"/>
      <c r="S107" s="93">
        <f>O107*M107</f>
        <v>0</v>
      </c>
      <c r="T107" s="15">
        <v>44684</v>
      </c>
      <c r="U107" s="15">
        <v>44687</v>
      </c>
      <c r="V107" s="13">
        <v>2.5</v>
      </c>
      <c r="W107" s="12">
        <v>1340</v>
      </c>
      <c r="X107" s="17" t="s">
        <v>854</v>
      </c>
      <c r="Y107" s="17"/>
      <c r="Z107" s="17"/>
      <c r="AA107" s="17"/>
      <c r="AB107" s="191">
        <f>IFERROR(VLOOKUP(D107,MTMO!$A$5:$B$34,2,0),0)</f>
        <v>0.44776119402985076</v>
      </c>
      <c r="AC107" s="191">
        <f>IFERROR(VLOOKUP(D107,MTMO!$A$5:$C$34,3,0),0)</f>
        <v>0.55223880597014929</v>
      </c>
      <c r="AD107" s="192">
        <f>AB107*M107</f>
        <v>600</v>
      </c>
      <c r="AE107" s="192">
        <f>AC107*M107</f>
        <v>740</v>
      </c>
      <c r="AF107" s="193">
        <f>I107-15</f>
        <v>44661</v>
      </c>
      <c r="AG107" s="193">
        <f>J107+15</f>
        <v>44694</v>
      </c>
    </row>
    <row r="108" spans="1:33">
      <c r="A108" s="18" t="s">
        <v>936</v>
      </c>
      <c r="B108" s="21" t="s">
        <v>967</v>
      </c>
      <c r="C108" s="18" t="s">
        <v>860</v>
      </c>
      <c r="D108" s="21" t="s">
        <v>675</v>
      </c>
      <c r="E108" s="18" t="s">
        <v>861</v>
      </c>
      <c r="F108" s="3">
        <v>24</v>
      </c>
      <c r="G108" s="3" t="s">
        <v>30</v>
      </c>
      <c r="H108" s="3">
        <v>0</v>
      </c>
      <c r="I108" s="50">
        <v>44679</v>
      </c>
      <c r="J108" s="50">
        <v>44683</v>
      </c>
      <c r="K108" s="54">
        <f>VLOOKUP(J108,SEMANAS!$B$1:$C$301,2,0)</f>
        <v>38</v>
      </c>
      <c r="L108" s="3">
        <v>2.5</v>
      </c>
      <c r="M108" s="6">
        <v>1340</v>
      </c>
      <c r="N108" s="58">
        <f>M108*H108</f>
        <v>0</v>
      </c>
      <c r="O108" s="181"/>
      <c r="P108" s="11"/>
      <c r="Q108" s="9"/>
      <c r="R108" s="9"/>
      <c r="S108" s="93">
        <f>O108*M108</f>
        <v>0</v>
      </c>
      <c r="T108" s="15">
        <v>44691</v>
      </c>
      <c r="U108" s="15">
        <v>44694</v>
      </c>
      <c r="V108" s="13">
        <v>2.5</v>
      </c>
      <c r="W108" s="12">
        <v>1340</v>
      </c>
      <c r="X108" s="17" t="s">
        <v>854</v>
      </c>
      <c r="Y108" s="17"/>
      <c r="Z108" s="17"/>
      <c r="AA108" s="17"/>
      <c r="AB108" s="191">
        <f>IFERROR(VLOOKUP(D108,MTMO!$A$5:$B$34,2,0),0)</f>
        <v>0.44776119402985076</v>
      </c>
      <c r="AC108" s="191">
        <f>IFERROR(VLOOKUP(D108,MTMO!$A$5:$C$34,3,0),0)</f>
        <v>0.55223880597014929</v>
      </c>
      <c r="AD108" s="192">
        <f>AB108*M108</f>
        <v>600</v>
      </c>
      <c r="AE108" s="192">
        <f>AC108*M108</f>
        <v>740</v>
      </c>
      <c r="AF108" s="193">
        <f>I108-15</f>
        <v>44664</v>
      </c>
      <c r="AG108" s="193">
        <f>J108+15</f>
        <v>44698</v>
      </c>
    </row>
    <row r="109" spans="1:33">
      <c r="A109" s="18" t="s">
        <v>937</v>
      </c>
      <c r="B109" s="21" t="s">
        <v>967</v>
      </c>
      <c r="C109" s="18" t="s">
        <v>863</v>
      </c>
      <c r="D109" s="21" t="s">
        <v>675</v>
      </c>
      <c r="E109" s="18" t="s">
        <v>864</v>
      </c>
      <c r="F109" s="3">
        <v>24</v>
      </c>
      <c r="G109" s="3" t="s">
        <v>30</v>
      </c>
      <c r="H109" s="3">
        <v>0</v>
      </c>
      <c r="I109" s="50">
        <v>44683</v>
      </c>
      <c r="J109" s="50">
        <v>44686</v>
      </c>
      <c r="K109" s="54">
        <f>VLOOKUP(J109,SEMANAS!$B$1:$C$301,2,0)</f>
        <v>38</v>
      </c>
      <c r="L109" s="3">
        <v>2.5</v>
      </c>
      <c r="M109" s="6">
        <v>1340</v>
      </c>
      <c r="N109" s="58">
        <f>M109*H109</f>
        <v>0</v>
      </c>
      <c r="O109" s="181"/>
      <c r="P109" s="11"/>
      <c r="Q109" s="9"/>
      <c r="R109" s="9"/>
      <c r="S109" s="93">
        <f>O109*M109</f>
        <v>0</v>
      </c>
      <c r="T109" s="15">
        <v>44698</v>
      </c>
      <c r="U109" s="15">
        <v>44701</v>
      </c>
      <c r="V109" s="13">
        <v>2.5</v>
      </c>
      <c r="W109" s="12">
        <v>1340</v>
      </c>
      <c r="X109" s="17" t="s">
        <v>854</v>
      </c>
      <c r="Y109" s="17"/>
      <c r="Z109" s="17"/>
      <c r="AA109" s="17"/>
      <c r="AB109" s="191">
        <f>IFERROR(VLOOKUP(D109,MTMO!$A$5:$B$34,2,0),0)</f>
        <v>0.44776119402985076</v>
      </c>
      <c r="AC109" s="191">
        <f>IFERROR(VLOOKUP(D109,MTMO!$A$5:$C$34,3,0),0)</f>
        <v>0.55223880597014929</v>
      </c>
      <c r="AD109" s="192">
        <f>AB109*M109</f>
        <v>600</v>
      </c>
      <c r="AE109" s="192">
        <f>AC109*M109</f>
        <v>740</v>
      </c>
      <c r="AF109" s="193">
        <f>I109-15</f>
        <v>44668</v>
      </c>
      <c r="AG109" s="193">
        <f>J109+15</f>
        <v>44701</v>
      </c>
    </row>
    <row r="110" spans="1:33" ht="15.75" thickBot="1">
      <c r="A110" s="18" t="s">
        <v>938</v>
      </c>
      <c r="B110" s="21" t="s">
        <v>967</v>
      </c>
      <c r="C110" s="18" t="s">
        <v>866</v>
      </c>
      <c r="D110" s="21" t="s">
        <v>675</v>
      </c>
      <c r="E110" s="18" t="s">
        <v>867</v>
      </c>
      <c r="F110" s="3">
        <v>24</v>
      </c>
      <c r="G110" s="3" t="s">
        <v>30</v>
      </c>
      <c r="H110" s="3">
        <v>0</v>
      </c>
      <c r="I110" s="50">
        <v>44686</v>
      </c>
      <c r="J110" s="50">
        <v>44690</v>
      </c>
      <c r="K110" s="54">
        <f>VLOOKUP(J110,SEMANAS!$B$1:$C$301,2,0)</f>
        <v>39</v>
      </c>
      <c r="L110" s="3">
        <v>2.5</v>
      </c>
      <c r="M110" s="6">
        <v>1340</v>
      </c>
      <c r="N110" s="58">
        <f>M110*H110</f>
        <v>0</v>
      </c>
      <c r="O110" s="181"/>
      <c r="P110" s="11"/>
      <c r="Q110" s="9"/>
      <c r="R110" s="9"/>
      <c r="S110" s="93">
        <f>O110*M110</f>
        <v>0</v>
      </c>
      <c r="T110" s="15">
        <v>44705</v>
      </c>
      <c r="U110" s="15">
        <v>44708</v>
      </c>
      <c r="V110" s="13">
        <v>2.5</v>
      </c>
      <c r="W110" s="12">
        <v>1340</v>
      </c>
      <c r="X110" s="17" t="s">
        <v>854</v>
      </c>
      <c r="Y110" s="17"/>
      <c r="Z110" s="17"/>
      <c r="AA110" s="17"/>
      <c r="AB110" s="191">
        <f>IFERROR(VLOOKUP(D110,MTMO!$A$5:$B$34,2,0),0)</f>
        <v>0.44776119402985076</v>
      </c>
      <c r="AC110" s="191">
        <f>IFERROR(VLOOKUP(D110,MTMO!$A$5:$C$34,3,0),0)</f>
        <v>0.55223880597014929</v>
      </c>
      <c r="AD110" s="192">
        <f>AB110*M110</f>
        <v>600</v>
      </c>
      <c r="AE110" s="192">
        <f>AC110*M110</f>
        <v>740</v>
      </c>
      <c r="AF110" s="193">
        <f>I110-15</f>
        <v>44671</v>
      </c>
      <c r="AG110" s="193">
        <f>J110+15</f>
        <v>44705</v>
      </c>
    </row>
    <row r="111" spans="1:33" ht="15.75" thickBot="1">
      <c r="A111" s="22">
        <v>-24</v>
      </c>
      <c r="B111" s="23" t="s">
        <v>966</v>
      </c>
      <c r="C111" s="24">
        <v>26</v>
      </c>
      <c r="D111" s="23"/>
      <c r="E111" s="24" t="s">
        <v>687</v>
      </c>
      <c r="F111" s="25">
        <v>2458.25</v>
      </c>
      <c r="G111" s="25" t="s">
        <v>82</v>
      </c>
      <c r="H111" s="25">
        <v>0</v>
      </c>
      <c r="I111" s="51">
        <v>44679</v>
      </c>
      <c r="J111" s="51">
        <v>44707</v>
      </c>
      <c r="K111" s="55">
        <f>VLOOKUP(J111,SEMANAS!$B$1:$C$301,2,0)</f>
        <v>41</v>
      </c>
      <c r="L111" s="25">
        <v>20</v>
      </c>
      <c r="M111" s="26">
        <v>14749.5</v>
      </c>
      <c r="N111" s="57"/>
      <c r="O111" s="180"/>
      <c r="P111" s="27"/>
      <c r="Q111" s="27"/>
      <c r="R111" s="28"/>
      <c r="S111" s="183"/>
      <c r="T111" s="29">
        <v>44687</v>
      </c>
      <c r="U111" s="29">
        <v>44718</v>
      </c>
      <c r="V111" s="30">
        <v>20</v>
      </c>
      <c r="W111" s="31">
        <v>14749.5</v>
      </c>
      <c r="X111" s="32" t="s">
        <v>854</v>
      </c>
      <c r="Y111" s="32"/>
      <c r="Z111" s="32"/>
      <c r="AA111" s="33"/>
      <c r="AB111" s="189"/>
      <c r="AC111" s="189"/>
      <c r="AD111" s="189"/>
      <c r="AE111" s="189"/>
      <c r="AF111" s="190"/>
      <c r="AG111" s="190"/>
    </row>
    <row r="112" spans="1:33">
      <c r="A112" s="18" t="s">
        <v>939</v>
      </c>
      <c r="B112" s="21" t="s">
        <v>967</v>
      </c>
      <c r="C112" s="18" t="s">
        <v>857</v>
      </c>
      <c r="D112" s="21" t="s">
        <v>687</v>
      </c>
      <c r="E112" s="18" t="s">
        <v>858</v>
      </c>
      <c r="F112" s="3">
        <v>613.75</v>
      </c>
      <c r="G112" s="3" t="s">
        <v>82</v>
      </c>
      <c r="H112" s="3">
        <v>0</v>
      </c>
      <c r="I112" s="50">
        <v>44679</v>
      </c>
      <c r="J112" s="50">
        <v>44686</v>
      </c>
      <c r="K112" s="54">
        <f>VLOOKUP(J112,SEMANAS!$B$1:$C$301,2,0)</f>
        <v>38</v>
      </c>
      <c r="L112" s="3">
        <v>5</v>
      </c>
      <c r="M112" s="6">
        <v>3682.5</v>
      </c>
      <c r="N112" s="58">
        <f>M112*H112</f>
        <v>0</v>
      </c>
      <c r="O112" s="181"/>
      <c r="P112" s="11"/>
      <c r="Q112" s="9"/>
      <c r="R112" s="9"/>
      <c r="S112" s="93">
        <f>O112*M112</f>
        <v>0</v>
      </c>
      <c r="T112" s="15">
        <v>44687</v>
      </c>
      <c r="U112" s="15">
        <v>44694</v>
      </c>
      <c r="V112" s="13">
        <v>5</v>
      </c>
      <c r="W112" s="12">
        <v>3682.5</v>
      </c>
      <c r="X112" s="17" t="s">
        <v>854</v>
      </c>
      <c r="Y112" s="17"/>
      <c r="Z112" s="17"/>
      <c r="AA112" s="17"/>
      <c r="AB112" s="191">
        <f>IFERROR(VLOOKUP(D112,MTMO!$A$5:$B$34,2,0),0)</f>
        <v>1</v>
      </c>
      <c r="AC112" s="191">
        <f>IFERROR(VLOOKUP(D112,MTMO!$A$5:$C$34,3,0),0)</f>
        <v>0</v>
      </c>
      <c r="AD112" s="192">
        <f>AB112*M112</f>
        <v>3682.5</v>
      </c>
      <c r="AE112" s="192">
        <f>AC112*M112</f>
        <v>0</v>
      </c>
      <c r="AF112" s="193">
        <f>I112-15</f>
        <v>44664</v>
      </c>
      <c r="AG112" s="193">
        <f>J112+15</f>
        <v>44701</v>
      </c>
    </row>
    <row r="113" spans="1:33">
      <c r="A113" s="18" t="s">
        <v>940</v>
      </c>
      <c r="B113" s="21" t="s">
        <v>967</v>
      </c>
      <c r="C113" s="18" t="s">
        <v>860</v>
      </c>
      <c r="D113" s="21" t="s">
        <v>687</v>
      </c>
      <c r="E113" s="18" t="s">
        <v>861</v>
      </c>
      <c r="F113" s="3">
        <v>614.85</v>
      </c>
      <c r="G113" s="3" t="s">
        <v>82</v>
      </c>
      <c r="H113" s="3">
        <v>0</v>
      </c>
      <c r="I113" s="50">
        <v>44686</v>
      </c>
      <c r="J113" s="50">
        <v>44693</v>
      </c>
      <c r="K113" s="54">
        <f>VLOOKUP(J113,SEMANAS!$B$1:$C$301,2,0)</f>
        <v>39</v>
      </c>
      <c r="L113" s="3">
        <v>5</v>
      </c>
      <c r="M113" s="6">
        <v>3689.1</v>
      </c>
      <c r="N113" s="58">
        <f>M113*H113</f>
        <v>0</v>
      </c>
      <c r="O113" s="181"/>
      <c r="P113" s="11"/>
      <c r="Q113" s="9"/>
      <c r="R113" s="9"/>
      <c r="S113" s="93">
        <f>O113*M113</f>
        <v>0</v>
      </c>
      <c r="T113" s="15">
        <v>44694</v>
      </c>
      <c r="U113" s="15">
        <v>44701</v>
      </c>
      <c r="V113" s="13">
        <v>5</v>
      </c>
      <c r="W113" s="12">
        <v>3689.1</v>
      </c>
      <c r="X113" s="17" t="s">
        <v>854</v>
      </c>
      <c r="Y113" s="17"/>
      <c r="Z113" s="17"/>
      <c r="AA113" s="17"/>
      <c r="AB113" s="191">
        <f>IFERROR(VLOOKUP(D113,MTMO!$A$5:$B$34,2,0),0)</f>
        <v>1</v>
      </c>
      <c r="AC113" s="191">
        <f>IFERROR(VLOOKUP(D113,MTMO!$A$5:$C$34,3,0),0)</f>
        <v>0</v>
      </c>
      <c r="AD113" s="192">
        <f>AB113*M113</f>
        <v>3689.1</v>
      </c>
      <c r="AE113" s="192">
        <f>AC113*M113</f>
        <v>0</v>
      </c>
      <c r="AF113" s="193">
        <f>I113-15</f>
        <v>44671</v>
      </c>
      <c r="AG113" s="193">
        <f>J113+15</f>
        <v>44708</v>
      </c>
    </row>
    <row r="114" spans="1:33">
      <c r="A114" s="18" t="s">
        <v>941</v>
      </c>
      <c r="B114" s="21" t="s">
        <v>967</v>
      </c>
      <c r="C114" s="18" t="s">
        <v>863</v>
      </c>
      <c r="D114" s="21" t="s">
        <v>687</v>
      </c>
      <c r="E114" s="18" t="s">
        <v>864</v>
      </c>
      <c r="F114" s="3">
        <v>614.85</v>
      </c>
      <c r="G114" s="3" t="s">
        <v>82</v>
      </c>
      <c r="H114" s="3">
        <v>0</v>
      </c>
      <c r="I114" s="50">
        <v>44693</v>
      </c>
      <c r="J114" s="50">
        <v>44700</v>
      </c>
      <c r="K114" s="54">
        <f>VLOOKUP(J114,SEMANAS!$B$1:$C$301,2,0)</f>
        <v>40</v>
      </c>
      <c r="L114" s="3">
        <v>5</v>
      </c>
      <c r="M114" s="6">
        <v>3689.1</v>
      </c>
      <c r="N114" s="58">
        <f>M114*H114</f>
        <v>0</v>
      </c>
      <c r="O114" s="181"/>
      <c r="P114" s="11"/>
      <c r="Q114" s="9"/>
      <c r="R114" s="9"/>
      <c r="S114" s="93">
        <f>O114*M114</f>
        <v>0</v>
      </c>
      <c r="T114" s="15">
        <v>44701</v>
      </c>
      <c r="U114" s="15">
        <v>44708</v>
      </c>
      <c r="V114" s="13">
        <v>5</v>
      </c>
      <c r="W114" s="12">
        <v>3689.1</v>
      </c>
      <c r="X114" s="17" t="s">
        <v>854</v>
      </c>
      <c r="Y114" s="17"/>
      <c r="Z114" s="17"/>
      <c r="AA114" s="17"/>
      <c r="AB114" s="191">
        <f>IFERROR(VLOOKUP(D114,MTMO!$A$5:$B$34,2,0),0)</f>
        <v>1</v>
      </c>
      <c r="AC114" s="191">
        <f>IFERROR(VLOOKUP(D114,MTMO!$A$5:$C$34,3,0),0)</f>
        <v>0</v>
      </c>
      <c r="AD114" s="192">
        <f>AB114*M114</f>
        <v>3689.1</v>
      </c>
      <c r="AE114" s="192">
        <f>AC114*M114</f>
        <v>0</v>
      </c>
      <c r="AF114" s="193">
        <f>I114-15</f>
        <v>44678</v>
      </c>
      <c r="AG114" s="193">
        <f>J114+15</f>
        <v>44715</v>
      </c>
    </row>
    <row r="115" spans="1:33" ht="15.75" thickBot="1">
      <c r="A115" s="18" t="s">
        <v>942</v>
      </c>
      <c r="B115" s="21" t="s">
        <v>967</v>
      </c>
      <c r="C115" s="18" t="s">
        <v>866</v>
      </c>
      <c r="D115" s="21" t="s">
        <v>687</v>
      </c>
      <c r="E115" s="18" t="s">
        <v>867</v>
      </c>
      <c r="F115" s="3">
        <v>614.79</v>
      </c>
      <c r="G115" s="3" t="s">
        <v>82</v>
      </c>
      <c r="H115" s="3">
        <v>0</v>
      </c>
      <c r="I115" s="50">
        <v>44700</v>
      </c>
      <c r="J115" s="50">
        <v>44707</v>
      </c>
      <c r="K115" s="54">
        <f>VLOOKUP(J115,SEMANAS!$B$1:$C$301,2,0)</f>
        <v>41</v>
      </c>
      <c r="L115" s="3">
        <v>5</v>
      </c>
      <c r="M115" s="6">
        <v>3688.8</v>
      </c>
      <c r="N115" s="58">
        <f>M115*H115</f>
        <v>0</v>
      </c>
      <c r="O115" s="181"/>
      <c r="P115" s="11"/>
      <c r="Q115" s="9"/>
      <c r="R115" s="9"/>
      <c r="S115" s="93">
        <f>O115*M115</f>
        <v>0</v>
      </c>
      <c r="T115" s="15">
        <v>44708</v>
      </c>
      <c r="U115" s="15">
        <v>44718</v>
      </c>
      <c r="V115" s="13">
        <v>5</v>
      </c>
      <c r="W115" s="12">
        <v>3688.8</v>
      </c>
      <c r="X115" s="17" t="s">
        <v>854</v>
      </c>
      <c r="Y115" s="17"/>
      <c r="Z115" s="17"/>
      <c r="AA115" s="17"/>
      <c r="AB115" s="191">
        <f>IFERROR(VLOOKUP(D115,MTMO!$A$5:$B$34,2,0),0)</f>
        <v>1</v>
      </c>
      <c r="AC115" s="191">
        <f>IFERROR(VLOOKUP(D115,MTMO!$A$5:$C$34,3,0),0)</f>
        <v>0</v>
      </c>
      <c r="AD115" s="192">
        <f>AB115*M115</f>
        <v>3688.8</v>
      </c>
      <c r="AE115" s="192">
        <f>AC115*M115</f>
        <v>0</v>
      </c>
      <c r="AF115" s="193">
        <f>I115-15</f>
        <v>44685</v>
      </c>
      <c r="AG115" s="193">
        <f>J115+15</f>
        <v>44722</v>
      </c>
    </row>
    <row r="116" spans="1:33" ht="15.75" thickBot="1">
      <c r="A116" s="22">
        <v>-25</v>
      </c>
      <c r="B116" s="23" t="s">
        <v>966</v>
      </c>
      <c r="C116" s="24">
        <v>27</v>
      </c>
      <c r="D116" s="23"/>
      <c r="E116" s="24" t="s">
        <v>694</v>
      </c>
      <c r="F116" s="25">
        <v>40</v>
      </c>
      <c r="G116" s="25" t="s">
        <v>50</v>
      </c>
      <c r="H116" s="25">
        <v>0</v>
      </c>
      <c r="I116" s="51">
        <v>44539</v>
      </c>
      <c r="J116" s="51">
        <v>44546</v>
      </c>
      <c r="K116" s="55">
        <f>VLOOKUP(J116,SEMANAS!$B$1:$C$301,2,0)</f>
        <v>18</v>
      </c>
      <c r="L116" s="25">
        <v>5</v>
      </c>
      <c r="M116" s="26">
        <v>51093</v>
      </c>
      <c r="N116" s="57"/>
      <c r="O116" s="180"/>
      <c r="P116" s="27"/>
      <c r="Q116" s="27"/>
      <c r="R116" s="28"/>
      <c r="S116" s="183"/>
      <c r="T116" s="29">
        <v>44561</v>
      </c>
      <c r="U116" s="29">
        <v>44568</v>
      </c>
      <c r="V116" s="30">
        <v>5</v>
      </c>
      <c r="W116" s="31">
        <v>51093</v>
      </c>
      <c r="X116" s="32" t="s">
        <v>854</v>
      </c>
      <c r="Y116" s="32"/>
      <c r="Z116" s="32"/>
      <c r="AA116" s="33"/>
      <c r="AB116" s="189"/>
      <c r="AC116" s="189"/>
      <c r="AD116" s="189"/>
      <c r="AE116" s="189"/>
      <c r="AF116" s="190"/>
      <c r="AG116" s="190"/>
    </row>
    <row r="117" spans="1:33" ht="15.75" thickBot="1">
      <c r="A117" s="18" t="s">
        <v>943</v>
      </c>
      <c r="B117" s="21" t="s">
        <v>967</v>
      </c>
      <c r="C117" s="18" t="s">
        <v>869</v>
      </c>
      <c r="D117" s="21" t="s">
        <v>694</v>
      </c>
      <c r="E117" s="18" t="s">
        <v>870</v>
      </c>
      <c r="F117" s="3">
        <v>40</v>
      </c>
      <c r="G117" s="3" t="s">
        <v>50</v>
      </c>
      <c r="H117" s="3">
        <v>0</v>
      </c>
      <c r="I117" s="50">
        <v>44539</v>
      </c>
      <c r="J117" s="50">
        <v>44546</v>
      </c>
      <c r="K117" s="54">
        <f>VLOOKUP(J117,SEMANAS!$B$1:$C$301,2,0)</f>
        <v>18</v>
      </c>
      <c r="L117" s="3">
        <v>5</v>
      </c>
      <c r="M117" s="6">
        <v>51093</v>
      </c>
      <c r="N117" s="58">
        <f>M117*H117</f>
        <v>0</v>
      </c>
      <c r="O117" s="181"/>
      <c r="P117" s="11"/>
      <c r="Q117" s="9"/>
      <c r="R117" s="9"/>
      <c r="S117" s="93">
        <f>O117*M117</f>
        <v>0</v>
      </c>
      <c r="T117" s="15">
        <v>44561</v>
      </c>
      <c r="U117" s="15">
        <v>44568</v>
      </c>
      <c r="V117" s="13">
        <v>5</v>
      </c>
      <c r="W117" s="12">
        <v>51093</v>
      </c>
      <c r="X117" s="17" t="s">
        <v>854</v>
      </c>
      <c r="Y117" s="17"/>
      <c r="Z117" s="17"/>
      <c r="AA117" s="17"/>
      <c r="AB117" s="191">
        <f>IFERROR(VLOOKUP(D117,MTMO!$A$5:$B$34,2,0),0)</f>
        <v>0.48683772728162372</v>
      </c>
      <c r="AC117" s="191">
        <f>IFERROR(VLOOKUP(D117,MTMO!$A$5:$C$34,3,0),0)</f>
        <v>0.51316227271837633</v>
      </c>
      <c r="AD117" s="192">
        <f>AB117*M117</f>
        <v>24874</v>
      </c>
      <c r="AE117" s="192">
        <f>AC117*M117</f>
        <v>26219.000000000004</v>
      </c>
      <c r="AF117" s="193">
        <f>I117-15</f>
        <v>44524</v>
      </c>
      <c r="AG117" s="193">
        <f>J117+15</f>
        <v>44561</v>
      </c>
    </row>
    <row r="118" spans="1:33" ht="15.75" thickBot="1">
      <c r="A118" s="22">
        <v>-26</v>
      </c>
      <c r="B118" s="23" t="s">
        <v>966</v>
      </c>
      <c r="C118" s="24">
        <v>28</v>
      </c>
      <c r="D118" s="23"/>
      <c r="E118" s="24" t="s">
        <v>721</v>
      </c>
      <c r="F118" s="25">
        <v>1</v>
      </c>
      <c r="G118" s="25" t="s">
        <v>30</v>
      </c>
      <c r="H118" s="25">
        <v>0</v>
      </c>
      <c r="I118" s="51">
        <v>44546</v>
      </c>
      <c r="J118" s="51">
        <v>44553</v>
      </c>
      <c r="K118" s="55">
        <f>VLOOKUP(J118,SEMANAS!$B$1:$C$301,2,0)</f>
        <v>19</v>
      </c>
      <c r="L118" s="25">
        <v>5</v>
      </c>
      <c r="M118" s="26">
        <v>10092.299999999999</v>
      </c>
      <c r="N118" s="57"/>
      <c r="O118" s="180"/>
      <c r="P118" s="27"/>
      <c r="Q118" s="27"/>
      <c r="R118" s="28"/>
      <c r="S118" s="183"/>
      <c r="T118" s="29">
        <v>44568</v>
      </c>
      <c r="U118" s="29">
        <v>44575</v>
      </c>
      <c r="V118" s="30">
        <v>5</v>
      </c>
      <c r="W118" s="31">
        <v>10092.299999999999</v>
      </c>
      <c r="X118" s="32" t="s">
        <v>854</v>
      </c>
      <c r="Y118" s="32"/>
      <c r="Z118" s="32"/>
      <c r="AA118" s="33"/>
      <c r="AB118" s="189"/>
      <c r="AC118" s="189"/>
      <c r="AD118" s="189"/>
      <c r="AE118" s="189"/>
      <c r="AF118" s="190"/>
      <c r="AG118" s="190"/>
    </row>
    <row r="119" spans="1:33" ht="15.75" thickBot="1">
      <c r="A119" s="18" t="s">
        <v>944</v>
      </c>
      <c r="B119" s="21" t="s">
        <v>967</v>
      </c>
      <c r="C119" s="18" t="s">
        <v>869</v>
      </c>
      <c r="D119" s="21" t="s">
        <v>721</v>
      </c>
      <c r="E119" s="18" t="s">
        <v>870</v>
      </c>
      <c r="F119" s="3">
        <v>1</v>
      </c>
      <c r="G119" s="3" t="s">
        <v>30</v>
      </c>
      <c r="H119" s="3">
        <v>0</v>
      </c>
      <c r="I119" s="50">
        <v>44546</v>
      </c>
      <c r="J119" s="50">
        <v>44553</v>
      </c>
      <c r="K119" s="54">
        <f>VLOOKUP(J119,SEMANAS!$B$1:$C$301,2,0)</f>
        <v>19</v>
      </c>
      <c r="L119" s="3">
        <v>5</v>
      </c>
      <c r="M119" s="6">
        <v>10092.299999999999</v>
      </c>
      <c r="N119" s="58">
        <f>M119*H119</f>
        <v>0</v>
      </c>
      <c r="O119" s="181"/>
      <c r="P119" s="11"/>
      <c r="Q119" s="9"/>
      <c r="R119" s="9"/>
      <c r="S119" s="93">
        <f>O119*M119</f>
        <v>0</v>
      </c>
      <c r="T119" s="15">
        <v>44568</v>
      </c>
      <c r="U119" s="15">
        <v>44575</v>
      </c>
      <c r="V119" s="13">
        <v>5</v>
      </c>
      <c r="W119" s="12">
        <v>10092.299999999999</v>
      </c>
      <c r="X119" s="17" t="s">
        <v>854</v>
      </c>
      <c r="Y119" s="17"/>
      <c r="Z119" s="17"/>
      <c r="AA119" s="17"/>
      <c r="AB119" s="191">
        <f>IFERROR(VLOOKUP(D119,MTMO!$A$5:$B$34,2,0),0)</f>
        <v>0.24772096710265556</v>
      </c>
      <c r="AC119" s="191">
        <f>IFERROR(VLOOKUP(D119,MTMO!$A$5:$C$34,3,0),0)</f>
        <v>0.75227903289734444</v>
      </c>
      <c r="AD119" s="192">
        <f>AB119*M119</f>
        <v>2500.0743162901304</v>
      </c>
      <c r="AE119" s="192">
        <f>AC119*M119</f>
        <v>7592.2256837098685</v>
      </c>
      <c r="AF119" s="193">
        <f>I119-15</f>
        <v>44531</v>
      </c>
      <c r="AG119" s="193">
        <f>J119+15</f>
        <v>44568</v>
      </c>
    </row>
    <row r="120" spans="1:33" ht="15.75" thickBot="1">
      <c r="A120" s="22">
        <v>-27</v>
      </c>
      <c r="B120" s="23" t="s">
        <v>966</v>
      </c>
      <c r="C120" s="24">
        <v>29</v>
      </c>
      <c r="D120" s="23"/>
      <c r="E120" s="24" t="s">
        <v>752</v>
      </c>
      <c r="F120" s="25">
        <v>1</v>
      </c>
      <c r="G120" s="25" t="s">
        <v>30</v>
      </c>
      <c r="H120" s="25">
        <v>0</v>
      </c>
      <c r="I120" s="51">
        <v>44707</v>
      </c>
      <c r="J120" s="51">
        <v>44715</v>
      </c>
      <c r="K120" s="55">
        <f>VLOOKUP(J120,SEMANAS!$B$1:$C$301,2,0)</f>
        <v>42</v>
      </c>
      <c r="L120" s="25">
        <v>5</v>
      </c>
      <c r="M120" s="26">
        <v>2000</v>
      </c>
      <c r="N120" s="57"/>
      <c r="O120" s="180"/>
      <c r="P120" s="27"/>
      <c r="Q120" s="27"/>
      <c r="R120" s="28"/>
      <c r="S120" s="183"/>
      <c r="T120" s="29">
        <v>44718</v>
      </c>
      <c r="U120" s="29">
        <v>44725</v>
      </c>
      <c r="V120" s="30">
        <v>5</v>
      </c>
      <c r="W120" s="31">
        <v>2000</v>
      </c>
      <c r="X120" s="32" t="s">
        <v>854</v>
      </c>
      <c r="Y120" s="32"/>
      <c r="Z120" s="32"/>
      <c r="AA120" s="33"/>
      <c r="AB120" s="189"/>
      <c r="AC120" s="189"/>
      <c r="AD120" s="189"/>
      <c r="AE120" s="189"/>
      <c r="AF120" s="190"/>
      <c r="AG120" s="190"/>
    </row>
    <row r="121" spans="1:33" ht="15.75" thickBot="1">
      <c r="A121" s="18" t="s">
        <v>753</v>
      </c>
      <c r="B121" s="21" t="s">
        <v>967</v>
      </c>
      <c r="C121" s="18" t="s">
        <v>945</v>
      </c>
      <c r="D121" s="21" t="s">
        <v>752</v>
      </c>
      <c r="E121" s="18" t="s">
        <v>945</v>
      </c>
      <c r="F121" s="3">
        <v>1</v>
      </c>
      <c r="G121" s="3" t="s">
        <v>30</v>
      </c>
      <c r="H121" s="3">
        <v>0</v>
      </c>
      <c r="I121" s="50">
        <v>44707</v>
      </c>
      <c r="J121" s="50">
        <v>44715</v>
      </c>
      <c r="K121" s="54">
        <f>VLOOKUP(J121,SEMANAS!$B$1:$C$301,2,0)</f>
        <v>42</v>
      </c>
      <c r="L121" s="3">
        <v>5</v>
      </c>
      <c r="M121" s="6">
        <v>2000</v>
      </c>
      <c r="N121" s="58">
        <f>M121*H121</f>
        <v>0</v>
      </c>
      <c r="O121" s="181"/>
      <c r="P121" s="11"/>
      <c r="Q121" s="9"/>
      <c r="R121" s="9"/>
      <c r="S121" s="93">
        <f>O121*M121</f>
        <v>0</v>
      </c>
      <c r="T121" s="15">
        <v>44718</v>
      </c>
      <c r="U121" s="15">
        <v>44725</v>
      </c>
      <c r="V121" s="13">
        <v>5</v>
      </c>
      <c r="W121" s="12">
        <v>2000</v>
      </c>
      <c r="X121" s="17" t="s">
        <v>854</v>
      </c>
      <c r="Y121" s="17"/>
      <c r="Z121" s="17"/>
      <c r="AA121" s="17"/>
      <c r="AB121" s="191">
        <f>IFERROR(VLOOKUP(D121,MTMO!$A$5:$B$34,2,0),0)</f>
        <v>1</v>
      </c>
      <c r="AC121" s="191">
        <f>IFERROR(VLOOKUP(D121,MTMO!$A$5:$C$34,3,0),0)</f>
        <v>0</v>
      </c>
      <c r="AD121" s="192">
        <f>AB121*M121</f>
        <v>2000</v>
      </c>
      <c r="AE121" s="192">
        <f>AC121*M121</f>
        <v>0</v>
      </c>
      <c r="AF121" s="193">
        <f>I121-15</f>
        <v>44692</v>
      </c>
      <c r="AG121" s="193">
        <f>J121+15</f>
        <v>44730</v>
      </c>
    </row>
    <row r="122" spans="1:33" ht="15.75" thickBot="1">
      <c r="A122" s="22">
        <v>-28</v>
      </c>
      <c r="B122" s="23" t="s">
        <v>966</v>
      </c>
      <c r="C122" s="24">
        <v>30</v>
      </c>
      <c r="D122" s="23"/>
      <c r="E122" s="24" t="s">
        <v>755</v>
      </c>
      <c r="F122" s="25">
        <v>745.27</v>
      </c>
      <c r="G122" s="25" t="s">
        <v>82</v>
      </c>
      <c r="H122" s="25">
        <v>0</v>
      </c>
      <c r="I122" s="51">
        <v>44533</v>
      </c>
      <c r="J122" s="51">
        <v>44575</v>
      </c>
      <c r="K122" s="55">
        <f>VLOOKUP(J122,SEMANAS!$B$1:$C$301,2,0)</f>
        <v>22</v>
      </c>
      <c r="L122" s="25">
        <v>30</v>
      </c>
      <c r="M122" s="26">
        <v>82892.7</v>
      </c>
      <c r="N122" s="57"/>
      <c r="O122" s="180"/>
      <c r="P122" s="27"/>
      <c r="Q122" s="27"/>
      <c r="R122" s="28"/>
      <c r="S122" s="183"/>
      <c r="T122" s="29">
        <v>44557</v>
      </c>
      <c r="U122" s="29">
        <v>44600</v>
      </c>
      <c r="V122" s="30">
        <v>30</v>
      </c>
      <c r="W122" s="31">
        <v>82892.7</v>
      </c>
      <c r="X122" s="32" t="s">
        <v>854</v>
      </c>
      <c r="Y122" s="32"/>
      <c r="Z122" s="32"/>
      <c r="AA122" s="33"/>
      <c r="AB122" s="189"/>
      <c r="AC122" s="189"/>
      <c r="AD122" s="189"/>
      <c r="AE122" s="189"/>
      <c r="AF122" s="190"/>
      <c r="AG122" s="190"/>
    </row>
    <row r="123" spans="1:33">
      <c r="A123" s="18" t="s">
        <v>951</v>
      </c>
      <c r="B123" s="21" t="s">
        <v>967</v>
      </c>
      <c r="C123" s="18" t="s">
        <v>952</v>
      </c>
      <c r="D123" s="21" t="s">
        <v>755</v>
      </c>
      <c r="E123" s="18" t="s">
        <v>953</v>
      </c>
      <c r="F123" s="3">
        <v>124.93</v>
      </c>
      <c r="G123" s="3" t="s">
        <v>82</v>
      </c>
      <c r="H123" s="3">
        <v>0</v>
      </c>
      <c r="I123" s="50">
        <v>44554</v>
      </c>
      <c r="J123" s="50">
        <v>44561</v>
      </c>
      <c r="K123" s="54">
        <f>VLOOKUP(J123,SEMANAS!$B$1:$C$301,2,0)</f>
        <v>20</v>
      </c>
      <c r="L123" s="3">
        <v>5</v>
      </c>
      <c r="M123" s="6">
        <v>11086.4</v>
      </c>
      <c r="N123" s="58">
        <f>M123*H123</f>
        <v>0</v>
      </c>
      <c r="O123" s="181"/>
      <c r="P123" s="11"/>
      <c r="Q123" s="9"/>
      <c r="R123" s="9"/>
      <c r="S123" s="93">
        <f>O123*M123</f>
        <v>0</v>
      </c>
      <c r="T123" s="15">
        <v>44579</v>
      </c>
      <c r="U123" s="15">
        <v>44586</v>
      </c>
      <c r="V123" s="13">
        <v>5</v>
      </c>
      <c r="W123" s="12">
        <v>11086.4</v>
      </c>
      <c r="X123" s="17" t="s">
        <v>854</v>
      </c>
      <c r="Y123" s="17"/>
      <c r="Z123" s="17"/>
      <c r="AA123" s="17"/>
      <c r="AB123" s="191">
        <f>IFERROR(VLOOKUP(D123,MTMO!$A$5:$B$34,2,0),0)</f>
        <v>0.31851905468495528</v>
      </c>
      <c r="AC123" s="191">
        <f>IFERROR(VLOOKUP(D123,MTMO!$A$5:$C$34,3,0),0)</f>
        <v>0.68148094531504466</v>
      </c>
      <c r="AD123" s="192">
        <f>AB123*M123</f>
        <v>3531.229647859288</v>
      </c>
      <c r="AE123" s="192">
        <f>AC123*M123</f>
        <v>7555.1703521407107</v>
      </c>
      <c r="AF123" s="193">
        <f>I123-15</f>
        <v>44539</v>
      </c>
      <c r="AG123" s="193">
        <f>J123+15</f>
        <v>44576</v>
      </c>
    </row>
    <row r="124" spans="1:33">
      <c r="A124" s="18" t="s">
        <v>824</v>
      </c>
      <c r="B124" s="21" t="s">
        <v>967</v>
      </c>
      <c r="C124" s="18" t="s">
        <v>946</v>
      </c>
      <c r="D124" s="21" t="s">
        <v>755</v>
      </c>
      <c r="E124" s="18" t="s">
        <v>947</v>
      </c>
      <c r="F124" s="3">
        <v>126.24</v>
      </c>
      <c r="G124" s="3" t="s">
        <v>82</v>
      </c>
      <c r="H124" s="3">
        <v>0</v>
      </c>
      <c r="I124" s="50">
        <v>44533</v>
      </c>
      <c r="J124" s="50">
        <v>44540</v>
      </c>
      <c r="K124" s="54">
        <f>VLOOKUP(J124,SEMANAS!$B$1:$C$301,2,0)</f>
        <v>17</v>
      </c>
      <c r="L124" s="3">
        <v>5</v>
      </c>
      <c r="M124" s="6">
        <v>11162.8</v>
      </c>
      <c r="N124" s="58">
        <f>M124*H124</f>
        <v>0</v>
      </c>
      <c r="O124" s="181"/>
      <c r="P124" s="11"/>
      <c r="Q124" s="9"/>
      <c r="R124" s="9"/>
      <c r="S124" s="93">
        <f>O124*M124</f>
        <v>0</v>
      </c>
      <c r="T124" s="15">
        <v>44557</v>
      </c>
      <c r="U124" s="15">
        <v>44564</v>
      </c>
      <c r="V124" s="13">
        <v>5</v>
      </c>
      <c r="W124" s="12">
        <v>11162.8</v>
      </c>
      <c r="X124" s="17" t="s">
        <v>854</v>
      </c>
      <c r="Y124" s="17"/>
      <c r="Z124" s="17"/>
      <c r="AA124" s="17"/>
      <c r="AB124" s="191">
        <f>IFERROR(VLOOKUP(D124,MTMO!$A$5:$B$34,2,0),0)</f>
        <v>0.31851905468495528</v>
      </c>
      <c r="AC124" s="191">
        <f>IFERROR(VLOOKUP(D124,MTMO!$A$5:$C$34,3,0),0)</f>
        <v>0.68148094531504466</v>
      </c>
      <c r="AD124" s="192">
        <f>AB124*M124</f>
        <v>3555.5645036372184</v>
      </c>
      <c r="AE124" s="192">
        <f>AC124*M124</f>
        <v>7607.2354963627804</v>
      </c>
      <c r="AF124" s="193">
        <f>I124-15</f>
        <v>44518</v>
      </c>
      <c r="AG124" s="193">
        <f>J124+15</f>
        <v>44555</v>
      </c>
    </row>
    <row r="125" spans="1:33">
      <c r="A125" s="18" t="s">
        <v>954</v>
      </c>
      <c r="B125" s="21" t="s">
        <v>967</v>
      </c>
      <c r="C125" s="18" t="s">
        <v>955</v>
      </c>
      <c r="D125" s="21" t="s">
        <v>755</v>
      </c>
      <c r="E125" s="18" t="s">
        <v>956</v>
      </c>
      <c r="F125" s="3">
        <v>255.83</v>
      </c>
      <c r="G125" s="3" t="s">
        <v>82</v>
      </c>
      <c r="H125" s="3">
        <v>0</v>
      </c>
      <c r="I125" s="50">
        <v>44561</v>
      </c>
      <c r="J125" s="50">
        <v>44575</v>
      </c>
      <c r="K125" s="54">
        <f>VLOOKUP(J125,SEMANAS!$B$1:$C$301,2,0)</f>
        <v>22</v>
      </c>
      <c r="L125" s="3">
        <v>10</v>
      </c>
      <c r="M125" s="6">
        <v>31231</v>
      </c>
      <c r="N125" s="58">
        <f>M125*H125</f>
        <v>0</v>
      </c>
      <c r="O125" s="181"/>
      <c r="P125" s="11"/>
      <c r="Q125" s="9"/>
      <c r="R125" s="9"/>
      <c r="S125" s="93">
        <f>O125*M125</f>
        <v>0</v>
      </c>
      <c r="T125" s="15">
        <v>44586</v>
      </c>
      <c r="U125" s="15">
        <v>44600</v>
      </c>
      <c r="V125" s="13">
        <v>10</v>
      </c>
      <c r="W125" s="12">
        <v>31231</v>
      </c>
      <c r="X125" s="17" t="s">
        <v>854</v>
      </c>
      <c r="Y125" s="17"/>
      <c r="Z125" s="17"/>
      <c r="AA125" s="17"/>
      <c r="AB125" s="191">
        <f>IFERROR(VLOOKUP(D125,MTMO!$A$5:$B$34,2,0),0)</f>
        <v>0.31851905468495528</v>
      </c>
      <c r="AC125" s="191">
        <f>IFERROR(VLOOKUP(D125,MTMO!$A$5:$C$34,3,0),0)</f>
        <v>0.68148094531504466</v>
      </c>
      <c r="AD125" s="192">
        <f>AB125*M125</f>
        <v>9947.6685968658385</v>
      </c>
      <c r="AE125" s="192">
        <f>AC125*M125</f>
        <v>21283.331403134162</v>
      </c>
      <c r="AF125" s="193">
        <f>I125-15</f>
        <v>44546</v>
      </c>
      <c r="AG125" s="193">
        <f>J125+15</f>
        <v>44590</v>
      </c>
    </row>
    <row r="126" spans="1:33" ht="15.75" thickBot="1">
      <c r="A126" s="18" t="s">
        <v>948</v>
      </c>
      <c r="B126" s="21" t="s">
        <v>967</v>
      </c>
      <c r="C126" s="18" t="s">
        <v>949</v>
      </c>
      <c r="D126" s="21" t="s">
        <v>755</v>
      </c>
      <c r="E126" s="18" t="s">
        <v>950</v>
      </c>
      <c r="F126" s="3">
        <v>238.27</v>
      </c>
      <c r="G126" s="3" t="s">
        <v>82</v>
      </c>
      <c r="H126" s="3">
        <v>0</v>
      </c>
      <c r="I126" s="50">
        <v>44540</v>
      </c>
      <c r="J126" s="50">
        <v>44554</v>
      </c>
      <c r="K126" s="54">
        <f>VLOOKUP(J126,SEMANAS!$B$1:$C$301,2,0)</f>
        <v>19</v>
      </c>
      <c r="L126" s="3">
        <v>10</v>
      </c>
      <c r="M126" s="6">
        <v>29412.400000000001</v>
      </c>
      <c r="N126" s="58">
        <f>M126*H126</f>
        <v>0</v>
      </c>
      <c r="O126" s="181"/>
      <c r="P126" s="11"/>
      <c r="Q126" s="9"/>
      <c r="R126" s="9"/>
      <c r="S126" s="93">
        <f>O126*M126</f>
        <v>0</v>
      </c>
      <c r="T126" s="15">
        <v>44564</v>
      </c>
      <c r="U126" s="15">
        <v>44579</v>
      </c>
      <c r="V126" s="13">
        <v>10</v>
      </c>
      <c r="W126" s="12">
        <v>29412.400000000001</v>
      </c>
      <c r="X126" s="17" t="s">
        <v>854</v>
      </c>
      <c r="Y126" s="17"/>
      <c r="Z126" s="17"/>
      <c r="AA126" s="17"/>
      <c r="AB126" s="191">
        <f>IFERROR(VLOOKUP(D126,MTMO!$A$5:$B$34,2,0),0)</f>
        <v>0.31851905468495528</v>
      </c>
      <c r="AC126" s="191">
        <f>IFERROR(VLOOKUP(D126,MTMO!$A$5:$C$34,3,0),0)</f>
        <v>0.68148094531504466</v>
      </c>
      <c r="AD126" s="192">
        <f>AB126*M126</f>
        <v>9368.4098440157795</v>
      </c>
      <c r="AE126" s="192">
        <f>AC126*M126</f>
        <v>20043.990155984222</v>
      </c>
      <c r="AF126" s="193">
        <f>I126-15</f>
        <v>44525</v>
      </c>
      <c r="AG126" s="193">
        <f>J126+15</f>
        <v>44569</v>
      </c>
    </row>
    <row r="127" spans="1:33" ht="15.75" thickBot="1">
      <c r="A127" s="22">
        <v>-29</v>
      </c>
      <c r="B127" s="23" t="s">
        <v>966</v>
      </c>
      <c r="C127" s="24">
        <v>31</v>
      </c>
      <c r="D127" s="23"/>
      <c r="E127" s="24" t="s">
        <v>775</v>
      </c>
      <c r="F127" s="25">
        <v>745.27</v>
      </c>
      <c r="G127" s="25" t="s">
        <v>776</v>
      </c>
      <c r="H127" s="25">
        <v>0</v>
      </c>
      <c r="I127" s="51">
        <v>44630</v>
      </c>
      <c r="J127" s="51">
        <v>44672</v>
      </c>
      <c r="K127" s="55">
        <f>VLOOKUP(J127,SEMANAS!$B$1:$C$301,2,0)</f>
        <v>36</v>
      </c>
      <c r="L127" s="25">
        <v>30</v>
      </c>
      <c r="M127" s="26">
        <v>37045</v>
      </c>
      <c r="N127" s="57"/>
      <c r="O127" s="180"/>
      <c r="P127" s="27"/>
      <c r="Q127" s="27"/>
      <c r="R127" s="28"/>
      <c r="S127" s="183"/>
      <c r="T127" s="29">
        <v>44638</v>
      </c>
      <c r="U127" s="29">
        <v>44680</v>
      </c>
      <c r="V127" s="30">
        <v>30</v>
      </c>
      <c r="W127" s="31">
        <v>37045</v>
      </c>
      <c r="X127" s="32" t="s">
        <v>854</v>
      </c>
      <c r="Y127" s="32"/>
      <c r="Z127" s="32"/>
      <c r="AA127" s="33"/>
      <c r="AB127" s="189"/>
      <c r="AC127" s="189"/>
      <c r="AD127" s="189"/>
      <c r="AE127" s="189"/>
      <c r="AF127" s="190"/>
      <c r="AG127" s="190"/>
    </row>
    <row r="128" spans="1:33">
      <c r="A128" s="18" t="s">
        <v>959</v>
      </c>
      <c r="B128" s="21" t="s">
        <v>967</v>
      </c>
      <c r="C128" s="18" t="s">
        <v>952</v>
      </c>
      <c r="D128" s="21" t="s">
        <v>775</v>
      </c>
      <c r="E128" s="18" t="s">
        <v>953</v>
      </c>
      <c r="F128" s="3">
        <v>124.93</v>
      </c>
      <c r="G128" s="3" t="s">
        <v>776</v>
      </c>
      <c r="H128" s="3">
        <v>0</v>
      </c>
      <c r="I128" s="50">
        <v>44651</v>
      </c>
      <c r="J128" s="50">
        <v>44658</v>
      </c>
      <c r="K128" s="54">
        <f>VLOOKUP(J128,SEMANAS!$B$1:$C$301,2,0)</f>
        <v>34</v>
      </c>
      <c r="L128" s="3">
        <v>5</v>
      </c>
      <c r="M128" s="6">
        <v>6209.8</v>
      </c>
      <c r="N128" s="58">
        <f>M128*H128</f>
        <v>0</v>
      </c>
      <c r="O128" s="181"/>
      <c r="P128" s="11"/>
      <c r="Q128" s="9"/>
      <c r="R128" s="9"/>
      <c r="S128" s="93">
        <f>O128*M128</f>
        <v>0</v>
      </c>
      <c r="T128" s="15">
        <v>44659</v>
      </c>
      <c r="U128" s="15">
        <v>44666</v>
      </c>
      <c r="V128" s="13">
        <v>5</v>
      </c>
      <c r="W128" s="12">
        <v>6209.8</v>
      </c>
      <c r="X128" s="17" t="s">
        <v>854</v>
      </c>
      <c r="Y128" s="17"/>
      <c r="Z128" s="17"/>
      <c r="AA128" s="17"/>
      <c r="AB128" s="191">
        <f>IFERROR(VLOOKUP(D128,MTMO!$A$5:$B$34,2,0),0)</f>
        <v>0.40235935644098908</v>
      </c>
      <c r="AC128" s="191">
        <f>IFERROR(VLOOKUP(D128,MTMO!$A$5:$C$34,3,0),0)</f>
        <v>0.59764064355901092</v>
      </c>
      <c r="AD128" s="192">
        <f>AB128*M128</f>
        <v>2498.5711316272541</v>
      </c>
      <c r="AE128" s="192">
        <f>AC128*M128</f>
        <v>3711.2288683727461</v>
      </c>
      <c r="AF128" s="193">
        <f>I128-15</f>
        <v>44636</v>
      </c>
      <c r="AG128" s="193">
        <f>J128+15</f>
        <v>44673</v>
      </c>
    </row>
    <row r="129" spans="1:33">
      <c r="A129" s="18" t="s">
        <v>957</v>
      </c>
      <c r="B129" s="21" t="s">
        <v>967</v>
      </c>
      <c r="C129" s="18" t="s">
        <v>946</v>
      </c>
      <c r="D129" s="21" t="s">
        <v>775</v>
      </c>
      <c r="E129" s="18" t="s">
        <v>947</v>
      </c>
      <c r="F129" s="3">
        <v>126.24</v>
      </c>
      <c r="G129" s="3" t="s">
        <v>776</v>
      </c>
      <c r="H129" s="3">
        <v>0</v>
      </c>
      <c r="I129" s="50">
        <v>44630</v>
      </c>
      <c r="J129" s="50">
        <v>44637</v>
      </c>
      <c r="K129" s="54">
        <f>VLOOKUP(J129,SEMANAS!$B$1:$C$301,2,0)</f>
        <v>31</v>
      </c>
      <c r="L129" s="3">
        <v>5</v>
      </c>
      <c r="M129" s="6">
        <v>6275.3</v>
      </c>
      <c r="N129" s="58">
        <f>M129*H129</f>
        <v>0</v>
      </c>
      <c r="O129" s="181"/>
      <c r="P129" s="11"/>
      <c r="Q129" s="9"/>
      <c r="R129" s="9"/>
      <c r="S129" s="93">
        <f>O129*M129</f>
        <v>0</v>
      </c>
      <c r="T129" s="15">
        <v>44638</v>
      </c>
      <c r="U129" s="15">
        <v>44645</v>
      </c>
      <c r="V129" s="13">
        <v>5</v>
      </c>
      <c r="W129" s="12">
        <v>6275.3</v>
      </c>
      <c r="X129" s="17" t="s">
        <v>854</v>
      </c>
      <c r="Y129" s="17"/>
      <c r="Z129" s="17"/>
      <c r="AA129" s="17"/>
      <c r="AB129" s="191">
        <f>IFERROR(VLOOKUP(D129,MTMO!$A$5:$B$34,2,0),0)</f>
        <v>0.40235935644098908</v>
      </c>
      <c r="AC129" s="191">
        <f>IFERROR(VLOOKUP(D129,MTMO!$A$5:$C$34,3,0),0)</f>
        <v>0.59764064355901092</v>
      </c>
      <c r="AD129" s="192">
        <f>AB129*M129</f>
        <v>2524.9256694741389</v>
      </c>
      <c r="AE129" s="192">
        <f>AC129*M129</f>
        <v>3750.3743305258613</v>
      </c>
      <c r="AF129" s="193">
        <f>I129-15</f>
        <v>44615</v>
      </c>
      <c r="AG129" s="193">
        <f>J129+15</f>
        <v>44652</v>
      </c>
    </row>
    <row r="130" spans="1:33">
      <c r="A130" s="18" t="s">
        <v>960</v>
      </c>
      <c r="B130" s="21" t="s">
        <v>967</v>
      </c>
      <c r="C130" s="18" t="s">
        <v>955</v>
      </c>
      <c r="D130" s="21" t="s">
        <v>775</v>
      </c>
      <c r="E130" s="18" t="s">
        <v>956</v>
      </c>
      <c r="F130" s="3">
        <v>255.83</v>
      </c>
      <c r="G130" s="3" t="s">
        <v>776</v>
      </c>
      <c r="H130" s="3">
        <v>0</v>
      </c>
      <c r="I130" s="50">
        <v>44658</v>
      </c>
      <c r="J130" s="50">
        <v>44672</v>
      </c>
      <c r="K130" s="54">
        <f>VLOOKUP(J130,SEMANAS!$B$1:$C$301,2,0)</f>
        <v>36</v>
      </c>
      <c r="L130" s="3">
        <v>10</v>
      </c>
      <c r="M130" s="6">
        <v>12716.4</v>
      </c>
      <c r="N130" s="58">
        <f>M130*H130</f>
        <v>0</v>
      </c>
      <c r="O130" s="181"/>
      <c r="P130" s="11"/>
      <c r="Q130" s="9"/>
      <c r="R130" s="9"/>
      <c r="S130" s="93">
        <f>O130*M130</f>
        <v>0</v>
      </c>
      <c r="T130" s="15">
        <v>44666</v>
      </c>
      <c r="U130" s="15">
        <v>44680</v>
      </c>
      <c r="V130" s="13">
        <v>10</v>
      </c>
      <c r="W130" s="12">
        <v>12716.4</v>
      </c>
      <c r="X130" s="17" t="s">
        <v>854</v>
      </c>
      <c r="Y130" s="17"/>
      <c r="Z130" s="17"/>
      <c r="AA130" s="17"/>
      <c r="AB130" s="191">
        <f>IFERROR(VLOOKUP(D130,MTMO!$A$5:$B$34,2,0),0)</f>
        <v>0.40235935644098908</v>
      </c>
      <c r="AC130" s="191">
        <f>IFERROR(VLOOKUP(D130,MTMO!$A$5:$C$34,3,0),0)</f>
        <v>0.59764064355901092</v>
      </c>
      <c r="AD130" s="192">
        <f>AB130*M130</f>
        <v>5116.5625202461933</v>
      </c>
      <c r="AE130" s="192">
        <f>AC130*M130</f>
        <v>7599.8374797538063</v>
      </c>
      <c r="AF130" s="193">
        <f>I130-15</f>
        <v>44643</v>
      </c>
      <c r="AG130" s="193">
        <f>J130+15</f>
        <v>44687</v>
      </c>
    </row>
    <row r="131" spans="1:33">
      <c r="A131" s="18" t="s">
        <v>958</v>
      </c>
      <c r="B131" s="21" t="s">
        <v>967</v>
      </c>
      <c r="C131" s="18" t="s">
        <v>949</v>
      </c>
      <c r="D131" s="21" t="s">
        <v>775</v>
      </c>
      <c r="E131" s="18" t="s">
        <v>950</v>
      </c>
      <c r="F131" s="3">
        <v>238.27</v>
      </c>
      <c r="G131" s="3" t="s">
        <v>776</v>
      </c>
      <c r="H131" s="3">
        <v>0</v>
      </c>
      <c r="I131" s="50">
        <v>44637</v>
      </c>
      <c r="J131" s="50">
        <v>44651</v>
      </c>
      <c r="K131" s="54">
        <f>VLOOKUP(J131,SEMANAS!$B$1:$C$301,2,0)</f>
        <v>33</v>
      </c>
      <c r="L131" s="3">
        <v>10</v>
      </c>
      <c r="M131" s="6">
        <v>11843.5</v>
      </c>
      <c r="N131" s="58">
        <f>M131*H131</f>
        <v>0</v>
      </c>
      <c r="O131" s="181"/>
      <c r="P131" s="11"/>
      <c r="Q131" s="9"/>
      <c r="R131" s="9"/>
      <c r="S131" s="93">
        <f>O131*M131</f>
        <v>0</v>
      </c>
      <c r="T131" s="15">
        <v>44645</v>
      </c>
      <c r="U131" s="15">
        <v>44659</v>
      </c>
      <c r="V131" s="13">
        <v>10</v>
      </c>
      <c r="W131" s="12">
        <v>11843.5</v>
      </c>
      <c r="X131" s="17" t="s">
        <v>854</v>
      </c>
      <c r="Y131" s="17"/>
      <c r="Z131" s="17"/>
      <c r="AA131" s="17"/>
      <c r="AB131" s="191">
        <f>IFERROR(VLOOKUP(D131,MTMO!$A$5:$B$34,2,0),0)</f>
        <v>0.40235935644098908</v>
      </c>
      <c r="AC131" s="191">
        <f>IFERROR(VLOOKUP(D131,MTMO!$A$5:$C$34,3,0),0)</f>
        <v>0.59764064355901092</v>
      </c>
      <c r="AD131" s="192">
        <f>AB131*M131</f>
        <v>4765.3430380088539</v>
      </c>
      <c r="AE131" s="192">
        <f>AC131*M131</f>
        <v>7078.1569619911461</v>
      </c>
      <c r="AF131" s="193">
        <f>I131-15</f>
        <v>44622</v>
      </c>
      <c r="AG131" s="193">
        <f>J131+15</f>
        <v>44666</v>
      </c>
    </row>
    <row r="133" spans="1:33">
      <c r="M133" s="8">
        <f>M6+M4</f>
        <v>37076.699999999997</v>
      </c>
    </row>
    <row r="134" spans="1:33">
      <c r="M134" s="172">
        <f>M133/'CURVA S'!C45</f>
        <v>2.4159757911754291E-2</v>
      </c>
    </row>
  </sheetData>
  <autoFilter ref="A2:AA131" xr:uid="{DE80889C-4B2B-4810-9C8A-798695562CA9}"/>
  <mergeCells count="1">
    <mergeCell ref="AB1:AG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365A0-8BCB-4056-BDBE-52E9A622AE6E}">
  <dimension ref="A3:C10"/>
  <sheetViews>
    <sheetView workbookViewId="0">
      <selection activeCell="C8" sqref="C8:C9"/>
    </sheetView>
  </sheetViews>
  <sheetFormatPr defaultRowHeight="15"/>
  <cols>
    <col min="1" max="1" width="18.7109375" bestFit="1" customWidth="1"/>
    <col min="2" max="2" width="15.85546875" style="35" bestFit="1" customWidth="1"/>
    <col min="3" max="3" width="9.140625" style="1"/>
  </cols>
  <sheetData>
    <row r="3" spans="1:3">
      <c r="A3" s="59" t="s">
        <v>978</v>
      </c>
      <c r="B3" s="35" t="s">
        <v>1502</v>
      </c>
    </row>
    <row r="4" spans="1:3">
      <c r="A4" s="120" t="s">
        <v>1088</v>
      </c>
      <c r="B4" s="35">
        <v>151750</v>
      </c>
      <c r="C4" s="205">
        <f>B4/$B$10</f>
        <v>5.784771431958699E-2</v>
      </c>
    </row>
    <row r="5" spans="1:3">
      <c r="A5" s="120" t="s">
        <v>1093</v>
      </c>
      <c r="B5" s="35">
        <v>14100</v>
      </c>
      <c r="C5" s="205">
        <f t="shared" ref="C5:C9" si="0">B5/$B$10</f>
        <v>5.3749770801065997E-3</v>
      </c>
    </row>
    <row r="6" spans="1:3">
      <c r="A6" s="120" t="s">
        <v>1413</v>
      </c>
      <c r="B6" s="35">
        <v>499200</v>
      </c>
      <c r="C6" s="205">
        <f t="shared" si="0"/>
        <v>0.19029706087866771</v>
      </c>
    </row>
    <row r="7" spans="1:3">
      <c r="A7" s="120" t="s">
        <v>1523</v>
      </c>
      <c r="B7" s="35">
        <v>1534647.0000000002</v>
      </c>
      <c r="C7" s="205">
        <f t="shared" si="0"/>
        <v>0.5850136490109471</v>
      </c>
    </row>
    <row r="8" spans="1:3">
      <c r="A8" s="120" t="s">
        <v>1527</v>
      </c>
      <c r="B8" s="35">
        <v>34500</v>
      </c>
      <c r="C8" s="205">
        <f t="shared" si="0"/>
        <v>1.3151539664090616E-2</v>
      </c>
    </row>
    <row r="9" spans="1:3">
      <c r="A9" s="120" t="s">
        <v>1526</v>
      </c>
      <c r="B9" s="35">
        <v>389070</v>
      </c>
      <c r="C9" s="205">
        <f t="shared" si="0"/>
        <v>0.14831505904660106</v>
      </c>
    </row>
    <row r="10" spans="1:3">
      <c r="A10" s="120" t="s">
        <v>979</v>
      </c>
      <c r="B10" s="35">
        <v>2623267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95B5E-E5B1-423E-B86F-8138129C23CA}">
  <dimension ref="A3:D15"/>
  <sheetViews>
    <sheetView workbookViewId="0">
      <selection activeCell="B8" sqref="B8"/>
    </sheetView>
  </sheetViews>
  <sheetFormatPr defaultRowHeight="15"/>
  <cols>
    <col min="1" max="1" width="25.140625" customWidth="1"/>
    <col min="2" max="2" width="18.85546875" style="35" customWidth="1"/>
    <col min="4" max="4" width="9.140625" style="1"/>
  </cols>
  <sheetData>
    <row r="3" spans="1:4">
      <c r="A3" s="59" t="s">
        <v>978</v>
      </c>
      <c r="B3" s="35" t="s">
        <v>1502</v>
      </c>
    </row>
    <row r="4" spans="1:4">
      <c r="A4" s="120" t="s">
        <v>1520</v>
      </c>
      <c r="B4" s="35">
        <v>1884367.0000000002</v>
      </c>
      <c r="D4" s="143"/>
    </row>
    <row r="5" spans="1:4">
      <c r="A5" s="141" t="s">
        <v>1088</v>
      </c>
      <c r="B5" s="35">
        <v>20950</v>
      </c>
      <c r="D5" s="143"/>
    </row>
    <row r="6" spans="1:4">
      <c r="A6" s="141" t="s">
        <v>1093</v>
      </c>
      <c r="B6" s="35">
        <v>3100</v>
      </c>
      <c r="D6" s="143"/>
    </row>
    <row r="7" spans="1:4">
      <c r="A7" s="141" t="s">
        <v>1523</v>
      </c>
      <c r="B7" s="35">
        <v>1534647.0000000002</v>
      </c>
      <c r="D7" s="143"/>
    </row>
    <row r="8" spans="1:4">
      <c r="A8" s="141" t="s">
        <v>1527</v>
      </c>
      <c r="B8" s="35">
        <v>34500</v>
      </c>
      <c r="D8" s="143"/>
    </row>
    <row r="9" spans="1:4">
      <c r="A9" s="141" t="s">
        <v>1526</v>
      </c>
      <c r="B9" s="35">
        <v>291170</v>
      </c>
    </row>
    <row r="10" spans="1:4">
      <c r="A10" s="120" t="s">
        <v>1522</v>
      </c>
      <c r="B10" s="35">
        <v>738900</v>
      </c>
    </row>
    <row r="11" spans="1:4">
      <c r="A11" s="141" t="s">
        <v>1088</v>
      </c>
      <c r="B11" s="35">
        <v>130800</v>
      </c>
    </row>
    <row r="12" spans="1:4">
      <c r="A12" s="141" t="s">
        <v>1093</v>
      </c>
      <c r="B12" s="35">
        <v>11000</v>
      </c>
    </row>
    <row r="13" spans="1:4">
      <c r="A13" s="141" t="s">
        <v>1413</v>
      </c>
      <c r="B13" s="35">
        <v>499200</v>
      </c>
    </row>
    <row r="14" spans="1:4">
      <c r="A14" s="141" t="s">
        <v>1526</v>
      </c>
      <c r="B14" s="35">
        <v>97900</v>
      </c>
    </row>
    <row r="15" spans="1:4">
      <c r="A15" s="120" t="s">
        <v>979</v>
      </c>
      <c r="B15" s="35">
        <v>2623267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0E9D4-CA42-4026-AB3F-F8E594646022}">
  <dimension ref="A1:C37"/>
  <sheetViews>
    <sheetView showGridLines="0" zoomScale="70" zoomScaleNormal="70" workbookViewId="0">
      <selection activeCell="W24" sqref="W24"/>
    </sheetView>
  </sheetViews>
  <sheetFormatPr defaultRowHeight="15"/>
  <cols>
    <col min="1" max="1" width="53.7109375" customWidth="1"/>
    <col min="2" max="2" width="21.7109375" style="143" customWidth="1"/>
  </cols>
  <sheetData>
    <row r="1" spans="1:2">
      <c r="A1" t="s">
        <v>1518</v>
      </c>
      <c r="B1" s="143" t="s">
        <v>1539</v>
      </c>
    </row>
    <row r="2" spans="1:2">
      <c r="A2" s="207" t="s">
        <v>1540</v>
      </c>
      <c r="B2" s="208">
        <v>0.59</v>
      </c>
    </row>
    <row r="3" spans="1:2">
      <c r="A3" s="207" t="s">
        <v>1550</v>
      </c>
      <c r="B3" s="208">
        <v>0.2</v>
      </c>
    </row>
    <row r="4" spans="1:2">
      <c r="A4" s="207" t="s">
        <v>1547</v>
      </c>
      <c r="B4" s="208">
        <v>0.09</v>
      </c>
    </row>
    <row r="5" spans="1:2">
      <c r="A5" s="207" t="s">
        <v>1549</v>
      </c>
      <c r="B5" s="208">
        <v>0.04</v>
      </c>
    </row>
    <row r="6" spans="1:2">
      <c r="A6" s="207" t="s">
        <v>1009</v>
      </c>
      <c r="B6" s="208">
        <v>0.04</v>
      </c>
    </row>
    <row r="7" spans="1:2">
      <c r="A7" s="207" t="s">
        <v>1154</v>
      </c>
      <c r="B7" s="208">
        <v>0.03</v>
      </c>
    </row>
    <row r="8" spans="1:2">
      <c r="A8" s="207" t="s">
        <v>1071</v>
      </c>
      <c r="B8" s="208">
        <v>0.01</v>
      </c>
    </row>
    <row r="9" spans="1:2">
      <c r="A9" s="207" t="s">
        <v>1548</v>
      </c>
      <c r="B9" s="208">
        <v>0.01</v>
      </c>
    </row>
    <row r="10" spans="1:2">
      <c r="B10" s="205"/>
    </row>
    <row r="11" spans="1:2">
      <c r="B11" s="205"/>
    </row>
    <row r="12" spans="1:2">
      <c r="B12" s="205"/>
    </row>
    <row r="21" spans="1:3">
      <c r="A21" t="s">
        <v>1543</v>
      </c>
      <c r="B21" s="206">
        <v>1900767</v>
      </c>
      <c r="C21" s="36">
        <f>B21/$B$27</f>
        <v>0.72007832806183503</v>
      </c>
    </row>
    <row r="22" spans="1:3">
      <c r="A22" t="s">
        <v>1009</v>
      </c>
      <c r="B22" s="206">
        <v>100000</v>
      </c>
      <c r="C22" s="36">
        <f t="shared" ref="C22:C25" si="0">B22/$B$27</f>
        <v>3.7883566374091883E-2</v>
      </c>
    </row>
    <row r="23" spans="1:3">
      <c r="A23" t="s">
        <v>1544</v>
      </c>
      <c r="B23" s="206">
        <v>529200</v>
      </c>
      <c r="C23" s="36">
        <f t="shared" si="0"/>
        <v>0.20047983325169424</v>
      </c>
    </row>
    <row r="24" spans="1:3">
      <c r="A24" t="s">
        <v>1541</v>
      </c>
      <c r="B24" s="206">
        <v>93300</v>
      </c>
      <c r="C24" s="36">
        <f t="shared" si="0"/>
        <v>3.5345367427027728E-2</v>
      </c>
    </row>
    <row r="25" spans="1:3">
      <c r="A25" t="s">
        <v>1542</v>
      </c>
      <c r="B25" s="206">
        <v>16400</v>
      </c>
      <c r="C25" s="36">
        <f t="shared" si="0"/>
        <v>6.2129048853510685E-3</v>
      </c>
    </row>
    <row r="26" spans="1:3">
      <c r="C26" s="36"/>
    </row>
    <row r="27" spans="1:3">
      <c r="B27" s="206">
        <f>SUM(B21:B26)</f>
        <v>2639667</v>
      </c>
    </row>
    <row r="32" spans="1:3">
      <c r="A32" t="s">
        <v>1545</v>
      </c>
      <c r="B32" s="143">
        <v>0.58499999999999996</v>
      </c>
    </row>
    <row r="33" spans="1:2">
      <c r="A33" t="s">
        <v>1511</v>
      </c>
      <c r="B33" s="143">
        <v>0.19</v>
      </c>
    </row>
    <row r="34" spans="1:2">
      <c r="A34" t="s">
        <v>1546</v>
      </c>
      <c r="B34" s="143">
        <v>0.161</v>
      </c>
    </row>
    <row r="35" spans="1:2">
      <c r="A35" t="s">
        <v>1533</v>
      </c>
      <c r="B35" s="143">
        <v>5.8000000000000003E-2</v>
      </c>
    </row>
    <row r="36" spans="1:2">
      <c r="A36" t="s">
        <v>1534</v>
      </c>
      <c r="B36" s="143">
        <v>5.0000000000000001E-3</v>
      </c>
    </row>
    <row r="37" spans="1:2">
      <c r="B37" s="143">
        <f>SUM(B32:B36)</f>
        <v>0.999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21787-99F2-4C6D-B9D8-BD65A30E31D1}">
  <dimension ref="B1:D301"/>
  <sheetViews>
    <sheetView topLeftCell="A22" zoomScale="175" zoomScaleNormal="175" workbookViewId="0">
      <selection activeCell="B35" sqref="B35:D35"/>
    </sheetView>
  </sheetViews>
  <sheetFormatPr defaultRowHeight="15"/>
  <cols>
    <col min="2" max="2" width="10.140625" style="45" customWidth="1"/>
    <col min="3" max="3" width="9.140625" style="1"/>
  </cols>
  <sheetData>
    <row r="1" spans="2:4">
      <c r="B1" s="50">
        <v>44424</v>
      </c>
      <c r="C1" s="1">
        <v>1</v>
      </c>
      <c r="D1" t="s">
        <v>970</v>
      </c>
    </row>
    <row r="2" spans="2:4">
      <c r="B2" s="45">
        <v>44425</v>
      </c>
      <c r="C2" s="1">
        <v>1</v>
      </c>
      <c r="D2" t="s">
        <v>971</v>
      </c>
    </row>
    <row r="3" spans="2:4">
      <c r="B3" s="45">
        <v>44426</v>
      </c>
      <c r="C3" s="1">
        <v>1</v>
      </c>
      <c r="D3" t="s">
        <v>972</v>
      </c>
    </row>
    <row r="4" spans="2:4">
      <c r="B4" s="45">
        <v>44427</v>
      </c>
      <c r="C4" s="1">
        <v>1</v>
      </c>
      <c r="D4" t="s">
        <v>973</v>
      </c>
    </row>
    <row r="5" spans="2:4">
      <c r="B5" s="45">
        <v>44428</v>
      </c>
      <c r="C5" s="1">
        <v>1</v>
      </c>
      <c r="D5" t="s">
        <v>974</v>
      </c>
    </row>
    <row r="6" spans="2:4">
      <c r="B6" s="45">
        <v>44429</v>
      </c>
      <c r="C6" s="1">
        <v>1</v>
      </c>
      <c r="D6" t="s">
        <v>975</v>
      </c>
    </row>
    <row r="7" spans="2:4">
      <c r="B7" s="45">
        <v>44430</v>
      </c>
      <c r="C7" s="1">
        <v>1</v>
      </c>
      <c r="D7" t="s">
        <v>976</v>
      </c>
    </row>
    <row r="8" spans="2:4">
      <c r="B8" s="45">
        <v>44431</v>
      </c>
      <c r="C8" s="1">
        <f>C1+1</f>
        <v>2</v>
      </c>
      <c r="D8" t="s">
        <v>970</v>
      </c>
    </row>
    <row r="9" spans="2:4">
      <c r="B9" s="45">
        <v>44432</v>
      </c>
      <c r="C9" s="1">
        <f t="shared" ref="C9:C72" si="0">C2+1</f>
        <v>2</v>
      </c>
      <c r="D9" t="s">
        <v>971</v>
      </c>
    </row>
    <row r="10" spans="2:4">
      <c r="B10" s="45">
        <v>44433</v>
      </c>
      <c r="C10" s="1">
        <f t="shared" si="0"/>
        <v>2</v>
      </c>
      <c r="D10" t="s">
        <v>972</v>
      </c>
    </row>
    <row r="11" spans="2:4">
      <c r="B11" s="45">
        <v>44434</v>
      </c>
      <c r="C11" s="1">
        <f t="shared" si="0"/>
        <v>2</v>
      </c>
      <c r="D11" t="s">
        <v>973</v>
      </c>
    </row>
    <row r="12" spans="2:4">
      <c r="B12" s="45">
        <v>44435</v>
      </c>
      <c r="C12" s="1">
        <f t="shared" si="0"/>
        <v>2</v>
      </c>
      <c r="D12" t="s">
        <v>974</v>
      </c>
    </row>
    <row r="13" spans="2:4">
      <c r="B13" s="45">
        <v>44436</v>
      </c>
      <c r="C13" s="1">
        <f t="shared" si="0"/>
        <v>2</v>
      </c>
      <c r="D13" t="s">
        <v>975</v>
      </c>
    </row>
    <row r="14" spans="2:4">
      <c r="B14" s="45">
        <v>44437</v>
      </c>
      <c r="C14" s="1">
        <f t="shared" si="0"/>
        <v>2</v>
      </c>
      <c r="D14" t="s">
        <v>976</v>
      </c>
    </row>
    <row r="15" spans="2:4">
      <c r="B15" s="45">
        <v>44438</v>
      </c>
      <c r="C15" s="1">
        <f t="shared" si="0"/>
        <v>3</v>
      </c>
      <c r="D15" t="s">
        <v>970</v>
      </c>
    </row>
    <row r="16" spans="2:4">
      <c r="B16" s="45">
        <v>44439</v>
      </c>
      <c r="C16" s="1">
        <f t="shared" si="0"/>
        <v>3</v>
      </c>
      <c r="D16" t="s">
        <v>971</v>
      </c>
    </row>
    <row r="17" spans="2:4">
      <c r="B17" s="45">
        <v>44440</v>
      </c>
      <c r="C17" s="1">
        <f t="shared" si="0"/>
        <v>3</v>
      </c>
      <c r="D17" t="s">
        <v>972</v>
      </c>
    </row>
    <row r="18" spans="2:4">
      <c r="B18" s="45">
        <v>44441</v>
      </c>
      <c r="C18" s="1">
        <f t="shared" si="0"/>
        <v>3</v>
      </c>
      <c r="D18" t="s">
        <v>973</v>
      </c>
    </row>
    <row r="19" spans="2:4">
      <c r="B19" s="45">
        <v>44442</v>
      </c>
      <c r="C19" s="1">
        <f t="shared" si="0"/>
        <v>3</v>
      </c>
      <c r="D19" t="s">
        <v>974</v>
      </c>
    </row>
    <row r="20" spans="2:4">
      <c r="B20" s="45">
        <v>44443</v>
      </c>
      <c r="C20" s="1">
        <f t="shared" si="0"/>
        <v>3</v>
      </c>
      <c r="D20" t="s">
        <v>975</v>
      </c>
    </row>
    <row r="21" spans="2:4">
      <c r="B21" s="45">
        <v>44444</v>
      </c>
      <c r="C21" s="1">
        <f t="shared" si="0"/>
        <v>3</v>
      </c>
      <c r="D21" t="s">
        <v>976</v>
      </c>
    </row>
    <row r="22" spans="2:4">
      <c r="B22" s="45">
        <v>44445</v>
      </c>
      <c r="C22" s="1">
        <f t="shared" si="0"/>
        <v>4</v>
      </c>
      <c r="D22" t="s">
        <v>970</v>
      </c>
    </row>
    <row r="23" spans="2:4">
      <c r="B23" s="45">
        <v>44446</v>
      </c>
      <c r="C23" s="1">
        <f t="shared" si="0"/>
        <v>4</v>
      </c>
      <c r="D23" t="s">
        <v>971</v>
      </c>
    </row>
    <row r="24" spans="2:4">
      <c r="B24" s="45">
        <v>44447</v>
      </c>
      <c r="C24" s="1">
        <f t="shared" si="0"/>
        <v>4</v>
      </c>
      <c r="D24" t="s">
        <v>972</v>
      </c>
    </row>
    <row r="25" spans="2:4">
      <c r="B25" s="45">
        <v>44448</v>
      </c>
      <c r="C25" s="1">
        <f t="shared" si="0"/>
        <v>4</v>
      </c>
      <c r="D25" t="s">
        <v>973</v>
      </c>
    </row>
    <row r="26" spans="2:4">
      <c r="B26" s="45">
        <v>44449</v>
      </c>
      <c r="C26" s="1">
        <f t="shared" si="0"/>
        <v>4</v>
      </c>
      <c r="D26" t="s">
        <v>974</v>
      </c>
    </row>
    <row r="27" spans="2:4">
      <c r="B27" s="45">
        <v>44450</v>
      </c>
      <c r="C27" s="1">
        <f t="shared" si="0"/>
        <v>4</v>
      </c>
      <c r="D27" t="s">
        <v>975</v>
      </c>
    </row>
    <row r="28" spans="2:4">
      <c r="B28" s="45">
        <v>44451</v>
      </c>
      <c r="C28" s="1">
        <f t="shared" si="0"/>
        <v>4</v>
      </c>
      <c r="D28" t="s">
        <v>976</v>
      </c>
    </row>
    <row r="29" spans="2:4">
      <c r="B29" s="45">
        <v>44452</v>
      </c>
      <c r="C29" s="1">
        <f t="shared" si="0"/>
        <v>5</v>
      </c>
      <c r="D29" t="s">
        <v>970</v>
      </c>
    </row>
    <row r="30" spans="2:4">
      <c r="B30" s="45">
        <v>44453</v>
      </c>
      <c r="C30" s="1">
        <f t="shared" si="0"/>
        <v>5</v>
      </c>
      <c r="D30" t="s">
        <v>971</v>
      </c>
    </row>
    <row r="31" spans="2:4">
      <c r="B31" s="45">
        <v>44454</v>
      </c>
      <c r="C31" s="1">
        <f t="shared" si="0"/>
        <v>5</v>
      </c>
      <c r="D31" t="s">
        <v>972</v>
      </c>
    </row>
    <row r="32" spans="2:4">
      <c r="B32" s="45">
        <v>44455</v>
      </c>
      <c r="C32" s="1">
        <f t="shared" si="0"/>
        <v>5</v>
      </c>
      <c r="D32" t="s">
        <v>973</v>
      </c>
    </row>
    <row r="33" spans="2:4">
      <c r="B33" s="45">
        <v>44456</v>
      </c>
      <c r="C33" s="1">
        <f t="shared" si="0"/>
        <v>5</v>
      </c>
      <c r="D33" t="s">
        <v>974</v>
      </c>
    </row>
    <row r="34" spans="2:4">
      <c r="B34" s="45">
        <v>44457</v>
      </c>
      <c r="C34" s="1">
        <f t="shared" si="0"/>
        <v>5</v>
      </c>
      <c r="D34" t="s">
        <v>975</v>
      </c>
    </row>
    <row r="35" spans="2:4">
      <c r="B35" s="45">
        <v>44458</v>
      </c>
      <c r="C35" s="1">
        <f t="shared" si="0"/>
        <v>5</v>
      </c>
      <c r="D35" t="s">
        <v>976</v>
      </c>
    </row>
    <row r="36" spans="2:4">
      <c r="B36" s="45">
        <v>44459</v>
      </c>
      <c r="C36" s="1">
        <f t="shared" si="0"/>
        <v>6</v>
      </c>
      <c r="D36" t="s">
        <v>970</v>
      </c>
    </row>
    <row r="37" spans="2:4">
      <c r="B37" s="45">
        <v>44460</v>
      </c>
      <c r="C37" s="1">
        <f t="shared" si="0"/>
        <v>6</v>
      </c>
      <c r="D37" t="s">
        <v>971</v>
      </c>
    </row>
    <row r="38" spans="2:4">
      <c r="B38" s="45">
        <v>44461</v>
      </c>
      <c r="C38" s="1">
        <f t="shared" si="0"/>
        <v>6</v>
      </c>
      <c r="D38" t="s">
        <v>972</v>
      </c>
    </row>
    <row r="39" spans="2:4">
      <c r="B39" s="45">
        <v>44462</v>
      </c>
      <c r="C39" s="1">
        <f t="shared" si="0"/>
        <v>6</v>
      </c>
      <c r="D39" t="s">
        <v>973</v>
      </c>
    </row>
    <row r="40" spans="2:4">
      <c r="B40" s="45">
        <v>44463</v>
      </c>
      <c r="C40" s="1">
        <f t="shared" si="0"/>
        <v>6</v>
      </c>
      <c r="D40" t="s">
        <v>974</v>
      </c>
    </row>
    <row r="41" spans="2:4">
      <c r="B41" s="45">
        <v>44464</v>
      </c>
      <c r="C41" s="1">
        <f t="shared" si="0"/>
        <v>6</v>
      </c>
      <c r="D41" t="s">
        <v>975</v>
      </c>
    </row>
    <row r="42" spans="2:4">
      <c r="B42" s="45">
        <v>44465</v>
      </c>
      <c r="C42" s="1">
        <f t="shared" si="0"/>
        <v>6</v>
      </c>
      <c r="D42" t="s">
        <v>976</v>
      </c>
    </row>
    <row r="43" spans="2:4">
      <c r="B43" s="45">
        <v>44466</v>
      </c>
      <c r="C43" s="1">
        <f t="shared" si="0"/>
        <v>7</v>
      </c>
      <c r="D43" t="s">
        <v>970</v>
      </c>
    </row>
    <row r="44" spans="2:4">
      <c r="B44" s="45">
        <v>44467</v>
      </c>
      <c r="C44" s="1">
        <f t="shared" si="0"/>
        <v>7</v>
      </c>
      <c r="D44" t="s">
        <v>971</v>
      </c>
    </row>
    <row r="45" spans="2:4">
      <c r="B45" s="45">
        <v>44468</v>
      </c>
      <c r="C45" s="1">
        <f t="shared" si="0"/>
        <v>7</v>
      </c>
      <c r="D45" t="s">
        <v>972</v>
      </c>
    </row>
    <row r="46" spans="2:4">
      <c r="B46" s="45">
        <v>44469</v>
      </c>
      <c r="C46" s="1">
        <f t="shared" si="0"/>
        <v>7</v>
      </c>
      <c r="D46" t="s">
        <v>973</v>
      </c>
    </row>
    <row r="47" spans="2:4">
      <c r="B47" s="45">
        <v>44470</v>
      </c>
      <c r="C47" s="1">
        <f t="shared" si="0"/>
        <v>7</v>
      </c>
      <c r="D47" t="s">
        <v>974</v>
      </c>
    </row>
    <row r="48" spans="2:4">
      <c r="B48" s="45">
        <v>44471</v>
      </c>
      <c r="C48" s="1">
        <f t="shared" si="0"/>
        <v>7</v>
      </c>
      <c r="D48" t="s">
        <v>975</v>
      </c>
    </row>
    <row r="49" spans="2:4">
      <c r="B49" s="45">
        <v>44472</v>
      </c>
      <c r="C49" s="1">
        <f t="shared" si="0"/>
        <v>7</v>
      </c>
      <c r="D49" t="s">
        <v>976</v>
      </c>
    </row>
    <row r="50" spans="2:4">
      <c r="B50" s="45">
        <v>44473</v>
      </c>
      <c r="C50" s="1">
        <f t="shared" si="0"/>
        <v>8</v>
      </c>
      <c r="D50" t="s">
        <v>970</v>
      </c>
    </row>
    <row r="51" spans="2:4">
      <c r="B51" s="45">
        <v>44474</v>
      </c>
      <c r="C51" s="1">
        <f t="shared" si="0"/>
        <v>8</v>
      </c>
      <c r="D51" t="s">
        <v>971</v>
      </c>
    </row>
    <row r="52" spans="2:4">
      <c r="B52" s="45">
        <v>44475</v>
      </c>
      <c r="C52" s="1">
        <f t="shared" si="0"/>
        <v>8</v>
      </c>
      <c r="D52" t="s">
        <v>972</v>
      </c>
    </row>
    <row r="53" spans="2:4">
      <c r="B53" s="45">
        <v>44476</v>
      </c>
      <c r="C53" s="1">
        <f t="shared" si="0"/>
        <v>8</v>
      </c>
      <c r="D53" t="s">
        <v>973</v>
      </c>
    </row>
    <row r="54" spans="2:4">
      <c r="B54" s="45">
        <v>44477</v>
      </c>
      <c r="C54" s="1">
        <f t="shared" si="0"/>
        <v>8</v>
      </c>
      <c r="D54" t="s">
        <v>974</v>
      </c>
    </row>
    <row r="55" spans="2:4">
      <c r="B55" s="45">
        <v>44478</v>
      </c>
      <c r="C55" s="1">
        <f t="shared" si="0"/>
        <v>8</v>
      </c>
      <c r="D55" t="s">
        <v>975</v>
      </c>
    </row>
    <row r="56" spans="2:4">
      <c r="B56" s="45">
        <v>44479</v>
      </c>
      <c r="C56" s="1">
        <f t="shared" si="0"/>
        <v>8</v>
      </c>
      <c r="D56" t="s">
        <v>976</v>
      </c>
    </row>
    <row r="57" spans="2:4">
      <c r="B57" s="45">
        <v>44480</v>
      </c>
      <c r="C57" s="1">
        <f t="shared" si="0"/>
        <v>9</v>
      </c>
      <c r="D57" t="s">
        <v>970</v>
      </c>
    </row>
    <row r="58" spans="2:4">
      <c r="B58" s="45">
        <v>44481</v>
      </c>
      <c r="C58" s="1">
        <f t="shared" si="0"/>
        <v>9</v>
      </c>
      <c r="D58" t="s">
        <v>971</v>
      </c>
    </row>
    <row r="59" spans="2:4">
      <c r="B59" s="45">
        <v>44482</v>
      </c>
      <c r="C59" s="1">
        <f t="shared" si="0"/>
        <v>9</v>
      </c>
      <c r="D59" t="s">
        <v>972</v>
      </c>
    </row>
    <row r="60" spans="2:4">
      <c r="B60" s="45">
        <v>44483</v>
      </c>
      <c r="C60" s="1">
        <f t="shared" si="0"/>
        <v>9</v>
      </c>
      <c r="D60" t="s">
        <v>973</v>
      </c>
    </row>
    <row r="61" spans="2:4">
      <c r="B61" s="45">
        <v>44484</v>
      </c>
      <c r="C61" s="1">
        <f t="shared" si="0"/>
        <v>9</v>
      </c>
      <c r="D61" t="s">
        <v>974</v>
      </c>
    </row>
    <row r="62" spans="2:4">
      <c r="B62" s="45">
        <v>44485</v>
      </c>
      <c r="C62" s="1">
        <f t="shared" si="0"/>
        <v>9</v>
      </c>
      <c r="D62" t="s">
        <v>975</v>
      </c>
    </row>
    <row r="63" spans="2:4">
      <c r="B63" s="45">
        <v>44486</v>
      </c>
      <c r="C63" s="1">
        <f t="shared" si="0"/>
        <v>9</v>
      </c>
      <c r="D63" t="s">
        <v>976</v>
      </c>
    </row>
    <row r="64" spans="2:4">
      <c r="B64" s="45">
        <v>44487</v>
      </c>
      <c r="C64" s="1">
        <f t="shared" si="0"/>
        <v>10</v>
      </c>
      <c r="D64" t="s">
        <v>970</v>
      </c>
    </row>
    <row r="65" spans="2:4">
      <c r="B65" s="45">
        <v>44488</v>
      </c>
      <c r="C65" s="1">
        <f t="shared" si="0"/>
        <v>10</v>
      </c>
      <c r="D65" t="s">
        <v>971</v>
      </c>
    </row>
    <row r="66" spans="2:4">
      <c r="B66" s="45">
        <v>44489</v>
      </c>
      <c r="C66" s="1">
        <f t="shared" si="0"/>
        <v>10</v>
      </c>
      <c r="D66" t="s">
        <v>972</v>
      </c>
    </row>
    <row r="67" spans="2:4">
      <c r="B67" s="45">
        <v>44490</v>
      </c>
      <c r="C67" s="1">
        <f t="shared" si="0"/>
        <v>10</v>
      </c>
      <c r="D67" t="s">
        <v>973</v>
      </c>
    </row>
    <row r="68" spans="2:4">
      <c r="B68" s="45">
        <v>44491</v>
      </c>
      <c r="C68" s="1">
        <f t="shared" si="0"/>
        <v>10</v>
      </c>
      <c r="D68" t="s">
        <v>974</v>
      </c>
    </row>
    <row r="69" spans="2:4">
      <c r="B69" s="45">
        <v>44492</v>
      </c>
      <c r="C69" s="1">
        <f t="shared" si="0"/>
        <v>10</v>
      </c>
      <c r="D69" t="s">
        <v>975</v>
      </c>
    </row>
    <row r="70" spans="2:4">
      <c r="B70" s="45">
        <v>44493</v>
      </c>
      <c r="C70" s="1">
        <f t="shared" si="0"/>
        <v>10</v>
      </c>
      <c r="D70" t="s">
        <v>976</v>
      </c>
    </row>
    <row r="71" spans="2:4">
      <c r="B71" s="45">
        <v>44494</v>
      </c>
      <c r="C71" s="1">
        <f t="shared" si="0"/>
        <v>11</v>
      </c>
      <c r="D71" t="s">
        <v>970</v>
      </c>
    </row>
    <row r="72" spans="2:4">
      <c r="B72" s="45">
        <v>44495</v>
      </c>
      <c r="C72" s="1">
        <f t="shared" si="0"/>
        <v>11</v>
      </c>
      <c r="D72" t="s">
        <v>971</v>
      </c>
    </row>
    <row r="73" spans="2:4">
      <c r="B73" s="45">
        <v>44496</v>
      </c>
      <c r="C73" s="1">
        <f t="shared" ref="C73:C136" si="1">C66+1</f>
        <v>11</v>
      </c>
      <c r="D73" t="s">
        <v>972</v>
      </c>
    </row>
    <row r="74" spans="2:4">
      <c r="B74" s="45">
        <v>44497</v>
      </c>
      <c r="C74" s="1">
        <f t="shared" si="1"/>
        <v>11</v>
      </c>
      <c r="D74" t="s">
        <v>973</v>
      </c>
    </row>
    <row r="75" spans="2:4">
      <c r="B75" s="45">
        <v>44498</v>
      </c>
      <c r="C75" s="1">
        <f t="shared" si="1"/>
        <v>11</v>
      </c>
      <c r="D75" t="s">
        <v>974</v>
      </c>
    </row>
    <row r="76" spans="2:4">
      <c r="B76" s="45">
        <v>44499</v>
      </c>
      <c r="C76" s="1">
        <f t="shared" si="1"/>
        <v>11</v>
      </c>
      <c r="D76" t="s">
        <v>975</v>
      </c>
    </row>
    <row r="77" spans="2:4">
      <c r="B77" s="45">
        <v>44500</v>
      </c>
      <c r="C77" s="1">
        <f t="shared" si="1"/>
        <v>11</v>
      </c>
      <c r="D77" t="s">
        <v>976</v>
      </c>
    </row>
    <row r="78" spans="2:4">
      <c r="B78" s="45">
        <v>44501</v>
      </c>
      <c r="C78" s="1">
        <f t="shared" si="1"/>
        <v>12</v>
      </c>
      <c r="D78" t="s">
        <v>970</v>
      </c>
    </row>
    <row r="79" spans="2:4">
      <c r="B79" s="45">
        <v>44502</v>
      </c>
      <c r="C79" s="1">
        <f t="shared" si="1"/>
        <v>12</v>
      </c>
      <c r="D79" t="s">
        <v>971</v>
      </c>
    </row>
    <row r="80" spans="2:4">
      <c r="B80" s="45">
        <v>44503</v>
      </c>
      <c r="C80" s="1">
        <f t="shared" si="1"/>
        <v>12</v>
      </c>
      <c r="D80" t="s">
        <v>972</v>
      </c>
    </row>
    <row r="81" spans="2:4">
      <c r="B81" s="45">
        <v>44504</v>
      </c>
      <c r="C81" s="1">
        <f t="shared" si="1"/>
        <v>12</v>
      </c>
      <c r="D81" t="s">
        <v>973</v>
      </c>
    </row>
    <row r="82" spans="2:4">
      <c r="B82" s="45">
        <v>44505</v>
      </c>
      <c r="C82" s="1">
        <f t="shared" si="1"/>
        <v>12</v>
      </c>
      <c r="D82" t="s">
        <v>974</v>
      </c>
    </row>
    <row r="83" spans="2:4">
      <c r="B83" s="45">
        <v>44506</v>
      </c>
      <c r="C83" s="1">
        <f t="shared" si="1"/>
        <v>12</v>
      </c>
      <c r="D83" t="s">
        <v>975</v>
      </c>
    </row>
    <row r="84" spans="2:4">
      <c r="B84" s="45">
        <v>44507</v>
      </c>
      <c r="C84" s="1">
        <f t="shared" si="1"/>
        <v>12</v>
      </c>
      <c r="D84" t="s">
        <v>976</v>
      </c>
    </row>
    <row r="85" spans="2:4">
      <c r="B85" s="45">
        <v>44508</v>
      </c>
      <c r="C85" s="1">
        <f t="shared" si="1"/>
        <v>13</v>
      </c>
      <c r="D85" t="s">
        <v>970</v>
      </c>
    </row>
    <row r="86" spans="2:4">
      <c r="B86" s="45">
        <v>44509</v>
      </c>
      <c r="C86" s="1">
        <f t="shared" si="1"/>
        <v>13</v>
      </c>
      <c r="D86" t="s">
        <v>971</v>
      </c>
    </row>
    <row r="87" spans="2:4">
      <c r="B87" s="45">
        <v>44510</v>
      </c>
      <c r="C87" s="1">
        <f t="shared" si="1"/>
        <v>13</v>
      </c>
      <c r="D87" t="s">
        <v>972</v>
      </c>
    </row>
    <row r="88" spans="2:4">
      <c r="B88" s="45">
        <v>44511</v>
      </c>
      <c r="C88" s="1">
        <f t="shared" si="1"/>
        <v>13</v>
      </c>
      <c r="D88" t="s">
        <v>973</v>
      </c>
    </row>
    <row r="89" spans="2:4">
      <c r="B89" s="45">
        <v>44512</v>
      </c>
      <c r="C89" s="1">
        <f t="shared" si="1"/>
        <v>13</v>
      </c>
      <c r="D89" t="s">
        <v>974</v>
      </c>
    </row>
    <row r="90" spans="2:4">
      <c r="B90" s="45">
        <v>44513</v>
      </c>
      <c r="C90" s="1">
        <f t="shared" si="1"/>
        <v>13</v>
      </c>
      <c r="D90" t="s">
        <v>975</v>
      </c>
    </row>
    <row r="91" spans="2:4">
      <c r="B91" s="45">
        <v>44514</v>
      </c>
      <c r="C91" s="1">
        <f t="shared" si="1"/>
        <v>13</v>
      </c>
      <c r="D91" t="s">
        <v>976</v>
      </c>
    </row>
    <row r="92" spans="2:4">
      <c r="B92" s="45">
        <v>44515</v>
      </c>
      <c r="C92" s="1">
        <f t="shared" si="1"/>
        <v>14</v>
      </c>
      <c r="D92" t="s">
        <v>970</v>
      </c>
    </row>
    <row r="93" spans="2:4">
      <c r="B93" s="45">
        <v>44516</v>
      </c>
      <c r="C93" s="1">
        <f t="shared" si="1"/>
        <v>14</v>
      </c>
      <c r="D93" t="s">
        <v>971</v>
      </c>
    </row>
    <row r="94" spans="2:4">
      <c r="B94" s="45">
        <v>44517</v>
      </c>
      <c r="C94" s="1">
        <f t="shared" si="1"/>
        <v>14</v>
      </c>
      <c r="D94" t="s">
        <v>972</v>
      </c>
    </row>
    <row r="95" spans="2:4">
      <c r="B95" s="45">
        <v>44518</v>
      </c>
      <c r="C95" s="1">
        <f t="shared" si="1"/>
        <v>14</v>
      </c>
      <c r="D95" t="s">
        <v>973</v>
      </c>
    </row>
    <row r="96" spans="2:4">
      <c r="B96" s="45">
        <v>44519</v>
      </c>
      <c r="C96" s="1">
        <f t="shared" si="1"/>
        <v>14</v>
      </c>
      <c r="D96" t="s">
        <v>974</v>
      </c>
    </row>
    <row r="97" spans="2:4">
      <c r="B97" s="45">
        <v>44520</v>
      </c>
      <c r="C97" s="1">
        <f t="shared" si="1"/>
        <v>14</v>
      </c>
      <c r="D97" t="s">
        <v>975</v>
      </c>
    </row>
    <row r="98" spans="2:4">
      <c r="B98" s="45">
        <v>44521</v>
      </c>
      <c r="C98" s="1">
        <f t="shared" si="1"/>
        <v>14</v>
      </c>
      <c r="D98" t="s">
        <v>976</v>
      </c>
    </row>
    <row r="99" spans="2:4">
      <c r="B99" s="45">
        <v>44522</v>
      </c>
      <c r="C99" s="1">
        <f t="shared" si="1"/>
        <v>15</v>
      </c>
      <c r="D99" t="s">
        <v>970</v>
      </c>
    </row>
    <row r="100" spans="2:4">
      <c r="B100" s="45">
        <v>44523</v>
      </c>
      <c r="C100" s="1">
        <f t="shared" si="1"/>
        <v>15</v>
      </c>
      <c r="D100" t="s">
        <v>971</v>
      </c>
    </row>
    <row r="101" spans="2:4">
      <c r="B101" s="45">
        <v>44524</v>
      </c>
      <c r="C101" s="1">
        <f t="shared" si="1"/>
        <v>15</v>
      </c>
      <c r="D101" t="s">
        <v>972</v>
      </c>
    </row>
    <row r="102" spans="2:4">
      <c r="B102" s="45">
        <v>44525</v>
      </c>
      <c r="C102" s="1">
        <f t="shared" si="1"/>
        <v>15</v>
      </c>
      <c r="D102" t="s">
        <v>973</v>
      </c>
    </row>
    <row r="103" spans="2:4">
      <c r="B103" s="45">
        <v>44526</v>
      </c>
      <c r="C103" s="1">
        <f t="shared" si="1"/>
        <v>15</v>
      </c>
      <c r="D103" t="s">
        <v>974</v>
      </c>
    </row>
    <row r="104" spans="2:4">
      <c r="B104" s="45">
        <v>44527</v>
      </c>
      <c r="C104" s="1">
        <f t="shared" si="1"/>
        <v>15</v>
      </c>
      <c r="D104" t="s">
        <v>975</v>
      </c>
    </row>
    <row r="105" spans="2:4">
      <c r="B105" s="45">
        <v>44528</v>
      </c>
      <c r="C105" s="1">
        <f t="shared" si="1"/>
        <v>15</v>
      </c>
      <c r="D105" t="s">
        <v>976</v>
      </c>
    </row>
    <row r="106" spans="2:4">
      <c r="B106" s="45">
        <v>44529</v>
      </c>
      <c r="C106" s="1">
        <f t="shared" si="1"/>
        <v>16</v>
      </c>
      <c r="D106" t="s">
        <v>970</v>
      </c>
    </row>
    <row r="107" spans="2:4">
      <c r="B107" s="45">
        <v>44530</v>
      </c>
      <c r="C107" s="1">
        <f t="shared" si="1"/>
        <v>16</v>
      </c>
      <c r="D107" t="s">
        <v>971</v>
      </c>
    </row>
    <row r="108" spans="2:4">
      <c r="B108" s="45">
        <v>44531</v>
      </c>
      <c r="C108" s="1">
        <f t="shared" si="1"/>
        <v>16</v>
      </c>
      <c r="D108" t="s">
        <v>972</v>
      </c>
    </row>
    <row r="109" spans="2:4">
      <c r="B109" s="45">
        <v>44532</v>
      </c>
      <c r="C109" s="1">
        <f t="shared" si="1"/>
        <v>16</v>
      </c>
      <c r="D109" t="s">
        <v>973</v>
      </c>
    </row>
    <row r="110" spans="2:4">
      <c r="B110" s="45">
        <v>44533</v>
      </c>
      <c r="C110" s="1">
        <f t="shared" si="1"/>
        <v>16</v>
      </c>
      <c r="D110" t="s">
        <v>974</v>
      </c>
    </row>
    <row r="111" spans="2:4">
      <c r="B111" s="45">
        <v>44534</v>
      </c>
      <c r="C111" s="1">
        <f t="shared" si="1"/>
        <v>16</v>
      </c>
      <c r="D111" t="s">
        <v>975</v>
      </c>
    </row>
    <row r="112" spans="2:4">
      <c r="B112" s="45">
        <v>44535</v>
      </c>
      <c r="C112" s="1">
        <f t="shared" si="1"/>
        <v>16</v>
      </c>
      <c r="D112" t="s">
        <v>976</v>
      </c>
    </row>
    <row r="113" spans="2:4">
      <c r="B113" s="45">
        <v>44536</v>
      </c>
      <c r="C113" s="1">
        <f t="shared" si="1"/>
        <v>17</v>
      </c>
      <c r="D113" t="s">
        <v>970</v>
      </c>
    </row>
    <row r="114" spans="2:4">
      <c r="B114" s="45">
        <v>44537</v>
      </c>
      <c r="C114" s="1">
        <f t="shared" si="1"/>
        <v>17</v>
      </c>
      <c r="D114" t="s">
        <v>971</v>
      </c>
    </row>
    <row r="115" spans="2:4">
      <c r="B115" s="45">
        <v>44538</v>
      </c>
      <c r="C115" s="1">
        <f t="shared" si="1"/>
        <v>17</v>
      </c>
      <c r="D115" t="s">
        <v>972</v>
      </c>
    </row>
    <row r="116" spans="2:4">
      <c r="B116" s="45">
        <v>44539</v>
      </c>
      <c r="C116" s="1">
        <f t="shared" si="1"/>
        <v>17</v>
      </c>
      <c r="D116" t="s">
        <v>973</v>
      </c>
    </row>
    <row r="117" spans="2:4">
      <c r="B117" s="45">
        <v>44540</v>
      </c>
      <c r="C117" s="1">
        <f t="shared" si="1"/>
        <v>17</v>
      </c>
      <c r="D117" t="s">
        <v>974</v>
      </c>
    </row>
    <row r="118" spans="2:4">
      <c r="B118" s="45">
        <v>44541</v>
      </c>
      <c r="C118" s="1">
        <f t="shared" si="1"/>
        <v>17</v>
      </c>
      <c r="D118" t="s">
        <v>975</v>
      </c>
    </row>
    <row r="119" spans="2:4">
      <c r="B119" s="45">
        <v>44542</v>
      </c>
      <c r="C119" s="1">
        <f t="shared" si="1"/>
        <v>17</v>
      </c>
      <c r="D119" t="s">
        <v>976</v>
      </c>
    </row>
    <row r="120" spans="2:4">
      <c r="B120" s="45">
        <v>44543</v>
      </c>
      <c r="C120" s="1">
        <f t="shared" si="1"/>
        <v>18</v>
      </c>
      <c r="D120" t="s">
        <v>970</v>
      </c>
    </row>
    <row r="121" spans="2:4">
      <c r="B121" s="45">
        <v>44544</v>
      </c>
      <c r="C121" s="1">
        <f t="shared" si="1"/>
        <v>18</v>
      </c>
      <c r="D121" t="s">
        <v>971</v>
      </c>
    </row>
    <row r="122" spans="2:4">
      <c r="B122" s="45">
        <v>44545</v>
      </c>
      <c r="C122" s="1">
        <f t="shared" si="1"/>
        <v>18</v>
      </c>
      <c r="D122" t="s">
        <v>972</v>
      </c>
    </row>
    <row r="123" spans="2:4">
      <c r="B123" s="45">
        <v>44546</v>
      </c>
      <c r="C123" s="1">
        <f t="shared" si="1"/>
        <v>18</v>
      </c>
      <c r="D123" t="s">
        <v>973</v>
      </c>
    </row>
    <row r="124" spans="2:4">
      <c r="B124" s="45">
        <v>44547</v>
      </c>
      <c r="C124" s="1">
        <f t="shared" si="1"/>
        <v>18</v>
      </c>
      <c r="D124" t="s">
        <v>974</v>
      </c>
    </row>
    <row r="125" spans="2:4">
      <c r="B125" s="45">
        <v>44548</v>
      </c>
      <c r="C125" s="1">
        <f t="shared" si="1"/>
        <v>18</v>
      </c>
      <c r="D125" t="s">
        <v>975</v>
      </c>
    </row>
    <row r="126" spans="2:4">
      <c r="B126" s="45">
        <v>44549</v>
      </c>
      <c r="C126" s="1">
        <f t="shared" si="1"/>
        <v>18</v>
      </c>
      <c r="D126" t="s">
        <v>976</v>
      </c>
    </row>
    <row r="127" spans="2:4">
      <c r="B127" s="45">
        <v>44550</v>
      </c>
      <c r="C127" s="1">
        <f t="shared" si="1"/>
        <v>19</v>
      </c>
      <c r="D127" t="s">
        <v>970</v>
      </c>
    </row>
    <row r="128" spans="2:4">
      <c r="B128" s="45">
        <v>44551</v>
      </c>
      <c r="C128" s="1">
        <f t="shared" si="1"/>
        <v>19</v>
      </c>
      <c r="D128" t="s">
        <v>971</v>
      </c>
    </row>
    <row r="129" spans="2:4">
      <c r="B129" s="45">
        <v>44552</v>
      </c>
      <c r="C129" s="1">
        <f t="shared" si="1"/>
        <v>19</v>
      </c>
      <c r="D129" t="s">
        <v>972</v>
      </c>
    </row>
    <row r="130" spans="2:4">
      <c r="B130" s="45">
        <v>44553</v>
      </c>
      <c r="C130" s="1">
        <f t="shared" si="1"/>
        <v>19</v>
      </c>
      <c r="D130" t="s">
        <v>973</v>
      </c>
    </row>
    <row r="131" spans="2:4">
      <c r="B131" s="45">
        <v>44554</v>
      </c>
      <c r="C131" s="1">
        <f t="shared" si="1"/>
        <v>19</v>
      </c>
      <c r="D131" t="s">
        <v>974</v>
      </c>
    </row>
    <row r="132" spans="2:4">
      <c r="B132" s="45">
        <v>44555</v>
      </c>
      <c r="C132" s="1">
        <f t="shared" si="1"/>
        <v>19</v>
      </c>
      <c r="D132" t="s">
        <v>975</v>
      </c>
    </row>
    <row r="133" spans="2:4">
      <c r="B133" s="45">
        <v>44556</v>
      </c>
      <c r="C133" s="1">
        <f t="shared" si="1"/>
        <v>19</v>
      </c>
      <c r="D133" t="s">
        <v>976</v>
      </c>
    </row>
    <row r="134" spans="2:4">
      <c r="B134" s="45">
        <v>44557</v>
      </c>
      <c r="C134" s="1">
        <f t="shared" si="1"/>
        <v>20</v>
      </c>
      <c r="D134" t="s">
        <v>970</v>
      </c>
    </row>
    <row r="135" spans="2:4">
      <c r="B135" s="45">
        <v>44558</v>
      </c>
      <c r="C135" s="1">
        <f t="shared" si="1"/>
        <v>20</v>
      </c>
      <c r="D135" t="s">
        <v>971</v>
      </c>
    </row>
    <row r="136" spans="2:4">
      <c r="B136" s="45">
        <v>44559</v>
      </c>
      <c r="C136" s="1">
        <f t="shared" si="1"/>
        <v>20</v>
      </c>
      <c r="D136" t="s">
        <v>972</v>
      </c>
    </row>
    <row r="137" spans="2:4">
      <c r="B137" s="45">
        <v>44560</v>
      </c>
      <c r="C137" s="1">
        <f t="shared" ref="C137:C200" si="2">C130+1</f>
        <v>20</v>
      </c>
      <c r="D137" t="s">
        <v>973</v>
      </c>
    </row>
    <row r="138" spans="2:4">
      <c r="B138" s="45">
        <v>44561</v>
      </c>
      <c r="C138" s="1">
        <f t="shared" si="2"/>
        <v>20</v>
      </c>
      <c r="D138" t="s">
        <v>974</v>
      </c>
    </row>
    <row r="139" spans="2:4">
      <c r="B139" s="45">
        <v>44562</v>
      </c>
      <c r="C139" s="1">
        <f t="shared" si="2"/>
        <v>20</v>
      </c>
      <c r="D139" t="s">
        <v>975</v>
      </c>
    </row>
    <row r="140" spans="2:4">
      <c r="B140" s="45">
        <v>44563</v>
      </c>
      <c r="C140" s="1">
        <f t="shared" si="2"/>
        <v>20</v>
      </c>
      <c r="D140" t="s">
        <v>976</v>
      </c>
    </row>
    <row r="141" spans="2:4">
      <c r="B141" s="45">
        <v>44564</v>
      </c>
      <c r="C141" s="1">
        <f t="shared" si="2"/>
        <v>21</v>
      </c>
      <c r="D141" t="s">
        <v>970</v>
      </c>
    </row>
    <row r="142" spans="2:4">
      <c r="B142" s="45">
        <v>44565</v>
      </c>
      <c r="C142" s="1">
        <f t="shared" si="2"/>
        <v>21</v>
      </c>
      <c r="D142" t="s">
        <v>971</v>
      </c>
    </row>
    <row r="143" spans="2:4">
      <c r="B143" s="45">
        <v>44566</v>
      </c>
      <c r="C143" s="1">
        <f t="shared" si="2"/>
        <v>21</v>
      </c>
      <c r="D143" t="s">
        <v>972</v>
      </c>
    </row>
    <row r="144" spans="2:4">
      <c r="B144" s="45">
        <v>44567</v>
      </c>
      <c r="C144" s="1">
        <f t="shared" si="2"/>
        <v>21</v>
      </c>
      <c r="D144" t="s">
        <v>973</v>
      </c>
    </row>
    <row r="145" spans="2:4">
      <c r="B145" s="45">
        <v>44568</v>
      </c>
      <c r="C145" s="1">
        <f t="shared" si="2"/>
        <v>21</v>
      </c>
      <c r="D145" t="s">
        <v>974</v>
      </c>
    </row>
    <row r="146" spans="2:4">
      <c r="B146" s="45">
        <v>44569</v>
      </c>
      <c r="C146" s="1">
        <f t="shared" si="2"/>
        <v>21</v>
      </c>
      <c r="D146" t="s">
        <v>975</v>
      </c>
    </row>
    <row r="147" spans="2:4">
      <c r="B147" s="45">
        <v>44570</v>
      </c>
      <c r="C147" s="1">
        <f t="shared" si="2"/>
        <v>21</v>
      </c>
      <c r="D147" t="s">
        <v>976</v>
      </c>
    </row>
    <row r="148" spans="2:4">
      <c r="B148" s="45">
        <v>44571</v>
      </c>
      <c r="C148" s="1">
        <f t="shared" si="2"/>
        <v>22</v>
      </c>
      <c r="D148" t="s">
        <v>970</v>
      </c>
    </row>
    <row r="149" spans="2:4">
      <c r="B149" s="45">
        <v>44572</v>
      </c>
      <c r="C149" s="1">
        <f t="shared" si="2"/>
        <v>22</v>
      </c>
      <c r="D149" t="s">
        <v>971</v>
      </c>
    </row>
    <row r="150" spans="2:4">
      <c r="B150" s="45">
        <v>44573</v>
      </c>
      <c r="C150" s="1">
        <f t="shared" si="2"/>
        <v>22</v>
      </c>
      <c r="D150" t="s">
        <v>972</v>
      </c>
    </row>
    <row r="151" spans="2:4">
      <c r="B151" s="45">
        <v>44574</v>
      </c>
      <c r="C151" s="1">
        <f t="shared" si="2"/>
        <v>22</v>
      </c>
      <c r="D151" t="s">
        <v>973</v>
      </c>
    </row>
    <row r="152" spans="2:4">
      <c r="B152" s="45">
        <v>44575</v>
      </c>
      <c r="C152" s="1">
        <f t="shared" si="2"/>
        <v>22</v>
      </c>
      <c r="D152" t="s">
        <v>974</v>
      </c>
    </row>
    <row r="153" spans="2:4">
      <c r="B153" s="45">
        <v>44576</v>
      </c>
      <c r="C153" s="1">
        <f t="shared" si="2"/>
        <v>22</v>
      </c>
      <c r="D153" t="s">
        <v>975</v>
      </c>
    </row>
    <row r="154" spans="2:4">
      <c r="B154" s="45">
        <v>44577</v>
      </c>
      <c r="C154" s="1">
        <f t="shared" si="2"/>
        <v>22</v>
      </c>
      <c r="D154" t="s">
        <v>976</v>
      </c>
    </row>
    <row r="155" spans="2:4">
      <c r="B155" s="45">
        <v>44578</v>
      </c>
      <c r="C155" s="1">
        <f t="shared" si="2"/>
        <v>23</v>
      </c>
      <c r="D155" t="s">
        <v>970</v>
      </c>
    </row>
    <row r="156" spans="2:4">
      <c r="B156" s="45">
        <v>44579</v>
      </c>
      <c r="C156" s="1">
        <f t="shared" si="2"/>
        <v>23</v>
      </c>
      <c r="D156" t="s">
        <v>971</v>
      </c>
    </row>
    <row r="157" spans="2:4">
      <c r="B157" s="45">
        <v>44580</v>
      </c>
      <c r="C157" s="1">
        <f t="shared" si="2"/>
        <v>23</v>
      </c>
      <c r="D157" t="s">
        <v>972</v>
      </c>
    </row>
    <row r="158" spans="2:4">
      <c r="B158" s="45">
        <v>44581</v>
      </c>
      <c r="C158" s="1">
        <f t="shared" si="2"/>
        <v>23</v>
      </c>
      <c r="D158" t="s">
        <v>973</v>
      </c>
    </row>
    <row r="159" spans="2:4">
      <c r="B159" s="45">
        <v>44582</v>
      </c>
      <c r="C159" s="1">
        <f t="shared" si="2"/>
        <v>23</v>
      </c>
      <c r="D159" t="s">
        <v>974</v>
      </c>
    </row>
    <row r="160" spans="2:4">
      <c r="B160" s="45">
        <v>44583</v>
      </c>
      <c r="C160" s="1">
        <f t="shared" si="2"/>
        <v>23</v>
      </c>
      <c r="D160" t="s">
        <v>975</v>
      </c>
    </row>
    <row r="161" spans="2:4">
      <c r="B161" s="45">
        <v>44584</v>
      </c>
      <c r="C161" s="1">
        <f t="shared" si="2"/>
        <v>23</v>
      </c>
      <c r="D161" t="s">
        <v>976</v>
      </c>
    </row>
    <row r="162" spans="2:4">
      <c r="B162" s="45">
        <v>44585</v>
      </c>
      <c r="C162" s="1">
        <f t="shared" si="2"/>
        <v>24</v>
      </c>
      <c r="D162" t="s">
        <v>970</v>
      </c>
    </row>
    <row r="163" spans="2:4">
      <c r="B163" s="45">
        <v>44586</v>
      </c>
      <c r="C163" s="1">
        <f t="shared" si="2"/>
        <v>24</v>
      </c>
      <c r="D163" t="s">
        <v>971</v>
      </c>
    </row>
    <row r="164" spans="2:4">
      <c r="B164" s="45">
        <v>44587</v>
      </c>
      <c r="C164" s="1">
        <f t="shared" si="2"/>
        <v>24</v>
      </c>
      <c r="D164" t="s">
        <v>972</v>
      </c>
    </row>
    <row r="165" spans="2:4">
      <c r="B165" s="45">
        <v>44588</v>
      </c>
      <c r="C165" s="1">
        <f t="shared" si="2"/>
        <v>24</v>
      </c>
      <c r="D165" t="s">
        <v>973</v>
      </c>
    </row>
    <row r="166" spans="2:4">
      <c r="B166" s="45">
        <v>44589</v>
      </c>
      <c r="C166" s="1">
        <f t="shared" si="2"/>
        <v>24</v>
      </c>
      <c r="D166" t="s">
        <v>974</v>
      </c>
    </row>
    <row r="167" spans="2:4">
      <c r="B167" s="45">
        <v>44590</v>
      </c>
      <c r="C167" s="1">
        <f t="shared" si="2"/>
        <v>24</v>
      </c>
      <c r="D167" t="s">
        <v>975</v>
      </c>
    </row>
    <row r="168" spans="2:4">
      <c r="B168" s="45">
        <v>44591</v>
      </c>
      <c r="C168" s="1">
        <f t="shared" si="2"/>
        <v>24</v>
      </c>
      <c r="D168" t="s">
        <v>976</v>
      </c>
    </row>
    <row r="169" spans="2:4">
      <c r="B169" s="45">
        <v>44592</v>
      </c>
      <c r="C169" s="1">
        <f t="shared" si="2"/>
        <v>25</v>
      </c>
      <c r="D169" t="s">
        <v>970</v>
      </c>
    </row>
    <row r="170" spans="2:4">
      <c r="B170" s="45">
        <v>44593</v>
      </c>
      <c r="C170" s="1">
        <f t="shared" si="2"/>
        <v>25</v>
      </c>
      <c r="D170" t="s">
        <v>971</v>
      </c>
    </row>
    <row r="171" spans="2:4">
      <c r="B171" s="45">
        <v>44594</v>
      </c>
      <c r="C171" s="1">
        <f t="shared" si="2"/>
        <v>25</v>
      </c>
      <c r="D171" t="s">
        <v>972</v>
      </c>
    </row>
    <row r="172" spans="2:4">
      <c r="B172" s="45">
        <v>44595</v>
      </c>
      <c r="C172" s="1">
        <f t="shared" si="2"/>
        <v>25</v>
      </c>
      <c r="D172" t="s">
        <v>973</v>
      </c>
    </row>
    <row r="173" spans="2:4">
      <c r="B173" s="45">
        <v>44596</v>
      </c>
      <c r="C173" s="1">
        <f t="shared" si="2"/>
        <v>25</v>
      </c>
      <c r="D173" t="s">
        <v>974</v>
      </c>
    </row>
    <row r="174" spans="2:4">
      <c r="B174" s="45">
        <v>44597</v>
      </c>
      <c r="C174" s="1">
        <f t="shared" si="2"/>
        <v>25</v>
      </c>
      <c r="D174" t="s">
        <v>975</v>
      </c>
    </row>
    <row r="175" spans="2:4">
      <c r="B175" s="45">
        <v>44598</v>
      </c>
      <c r="C175" s="1">
        <f t="shared" si="2"/>
        <v>25</v>
      </c>
      <c r="D175" t="s">
        <v>976</v>
      </c>
    </row>
    <row r="176" spans="2:4">
      <c r="B176" s="45">
        <v>44599</v>
      </c>
      <c r="C176" s="1">
        <f t="shared" si="2"/>
        <v>26</v>
      </c>
      <c r="D176" t="s">
        <v>970</v>
      </c>
    </row>
    <row r="177" spans="2:4">
      <c r="B177" s="45">
        <v>44600</v>
      </c>
      <c r="C177" s="1">
        <f t="shared" si="2"/>
        <v>26</v>
      </c>
      <c r="D177" t="s">
        <v>971</v>
      </c>
    </row>
    <row r="178" spans="2:4">
      <c r="B178" s="45">
        <v>44601</v>
      </c>
      <c r="C178" s="1">
        <f t="shared" si="2"/>
        <v>26</v>
      </c>
      <c r="D178" t="s">
        <v>972</v>
      </c>
    </row>
    <row r="179" spans="2:4">
      <c r="B179" s="45">
        <v>44602</v>
      </c>
      <c r="C179" s="1">
        <f t="shared" si="2"/>
        <v>26</v>
      </c>
      <c r="D179" t="s">
        <v>973</v>
      </c>
    </row>
    <row r="180" spans="2:4">
      <c r="B180" s="45">
        <v>44603</v>
      </c>
      <c r="C180" s="1">
        <f t="shared" si="2"/>
        <v>26</v>
      </c>
      <c r="D180" t="s">
        <v>974</v>
      </c>
    </row>
    <row r="181" spans="2:4">
      <c r="B181" s="45">
        <v>44604</v>
      </c>
      <c r="C181" s="1">
        <f t="shared" si="2"/>
        <v>26</v>
      </c>
      <c r="D181" t="s">
        <v>975</v>
      </c>
    </row>
    <row r="182" spans="2:4">
      <c r="B182" s="45">
        <v>44605</v>
      </c>
      <c r="C182" s="1">
        <f t="shared" si="2"/>
        <v>26</v>
      </c>
      <c r="D182" t="s">
        <v>976</v>
      </c>
    </row>
    <row r="183" spans="2:4">
      <c r="B183" s="45">
        <v>44606</v>
      </c>
      <c r="C183" s="1">
        <f t="shared" si="2"/>
        <v>27</v>
      </c>
      <c r="D183" t="s">
        <v>970</v>
      </c>
    </row>
    <row r="184" spans="2:4">
      <c r="B184" s="45">
        <v>44607</v>
      </c>
      <c r="C184" s="1">
        <f t="shared" si="2"/>
        <v>27</v>
      </c>
      <c r="D184" t="s">
        <v>971</v>
      </c>
    </row>
    <row r="185" spans="2:4">
      <c r="B185" s="45">
        <v>44608</v>
      </c>
      <c r="C185" s="1">
        <f t="shared" si="2"/>
        <v>27</v>
      </c>
      <c r="D185" t="s">
        <v>972</v>
      </c>
    </row>
    <row r="186" spans="2:4">
      <c r="B186" s="45">
        <v>44609</v>
      </c>
      <c r="C186" s="1">
        <f t="shared" si="2"/>
        <v>27</v>
      </c>
      <c r="D186" t="s">
        <v>973</v>
      </c>
    </row>
    <row r="187" spans="2:4">
      <c r="B187" s="45">
        <v>44610</v>
      </c>
      <c r="C187" s="1">
        <f t="shared" si="2"/>
        <v>27</v>
      </c>
      <c r="D187" t="s">
        <v>974</v>
      </c>
    </row>
    <row r="188" spans="2:4">
      <c r="B188" s="45">
        <v>44611</v>
      </c>
      <c r="C188" s="1">
        <f t="shared" si="2"/>
        <v>27</v>
      </c>
      <c r="D188" t="s">
        <v>975</v>
      </c>
    </row>
    <row r="189" spans="2:4">
      <c r="B189" s="45">
        <v>44612</v>
      </c>
      <c r="C189" s="1">
        <f t="shared" si="2"/>
        <v>27</v>
      </c>
      <c r="D189" t="s">
        <v>976</v>
      </c>
    </row>
    <row r="190" spans="2:4">
      <c r="B190" s="45">
        <v>44613</v>
      </c>
      <c r="C190" s="1">
        <f t="shared" si="2"/>
        <v>28</v>
      </c>
      <c r="D190" t="s">
        <v>970</v>
      </c>
    </row>
    <row r="191" spans="2:4">
      <c r="B191" s="45">
        <v>44614</v>
      </c>
      <c r="C191" s="1">
        <f t="shared" si="2"/>
        <v>28</v>
      </c>
      <c r="D191" t="s">
        <v>971</v>
      </c>
    </row>
    <row r="192" spans="2:4">
      <c r="B192" s="45">
        <v>44615</v>
      </c>
      <c r="C192" s="1">
        <f t="shared" si="2"/>
        <v>28</v>
      </c>
      <c r="D192" t="s">
        <v>972</v>
      </c>
    </row>
    <row r="193" spans="2:4">
      <c r="B193" s="45">
        <v>44616</v>
      </c>
      <c r="C193" s="1">
        <f t="shared" si="2"/>
        <v>28</v>
      </c>
      <c r="D193" t="s">
        <v>973</v>
      </c>
    </row>
    <row r="194" spans="2:4">
      <c r="B194" s="45">
        <v>44617</v>
      </c>
      <c r="C194" s="1">
        <f t="shared" si="2"/>
        <v>28</v>
      </c>
      <c r="D194" t="s">
        <v>974</v>
      </c>
    </row>
    <row r="195" spans="2:4">
      <c r="B195" s="45">
        <v>44618</v>
      </c>
      <c r="C195" s="1">
        <f t="shared" si="2"/>
        <v>28</v>
      </c>
      <c r="D195" t="s">
        <v>975</v>
      </c>
    </row>
    <row r="196" spans="2:4">
      <c r="B196" s="45">
        <v>44619</v>
      </c>
      <c r="C196" s="1">
        <f t="shared" si="2"/>
        <v>28</v>
      </c>
      <c r="D196" t="s">
        <v>976</v>
      </c>
    </row>
    <row r="197" spans="2:4">
      <c r="B197" s="45">
        <v>44620</v>
      </c>
      <c r="C197" s="1">
        <f t="shared" si="2"/>
        <v>29</v>
      </c>
      <c r="D197" t="s">
        <v>970</v>
      </c>
    </row>
    <row r="198" spans="2:4">
      <c r="B198" s="45">
        <v>44621</v>
      </c>
      <c r="C198" s="1">
        <f t="shared" si="2"/>
        <v>29</v>
      </c>
      <c r="D198" t="s">
        <v>971</v>
      </c>
    </row>
    <row r="199" spans="2:4">
      <c r="B199" s="45">
        <v>44622</v>
      </c>
      <c r="C199" s="1">
        <f t="shared" si="2"/>
        <v>29</v>
      </c>
      <c r="D199" t="s">
        <v>972</v>
      </c>
    </row>
    <row r="200" spans="2:4">
      <c r="B200" s="45">
        <v>44623</v>
      </c>
      <c r="C200" s="1">
        <f t="shared" si="2"/>
        <v>29</v>
      </c>
      <c r="D200" t="s">
        <v>973</v>
      </c>
    </row>
    <row r="201" spans="2:4">
      <c r="B201" s="45">
        <v>44624</v>
      </c>
      <c r="C201" s="1">
        <f t="shared" ref="C201:C264" si="3">C194+1</f>
        <v>29</v>
      </c>
      <c r="D201" t="s">
        <v>974</v>
      </c>
    </row>
    <row r="202" spans="2:4">
      <c r="B202" s="45">
        <v>44625</v>
      </c>
      <c r="C202" s="1">
        <f t="shared" si="3"/>
        <v>29</v>
      </c>
      <c r="D202" t="s">
        <v>975</v>
      </c>
    </row>
    <row r="203" spans="2:4">
      <c r="B203" s="45">
        <v>44626</v>
      </c>
      <c r="C203" s="1">
        <f t="shared" si="3"/>
        <v>29</v>
      </c>
      <c r="D203" t="s">
        <v>976</v>
      </c>
    </row>
    <row r="204" spans="2:4">
      <c r="B204" s="45">
        <v>44627</v>
      </c>
      <c r="C204" s="1">
        <f t="shared" si="3"/>
        <v>30</v>
      </c>
      <c r="D204" t="s">
        <v>970</v>
      </c>
    </row>
    <row r="205" spans="2:4">
      <c r="B205" s="45">
        <v>44628</v>
      </c>
      <c r="C205" s="1">
        <f t="shared" si="3"/>
        <v>30</v>
      </c>
      <c r="D205" t="s">
        <v>971</v>
      </c>
    </row>
    <row r="206" spans="2:4">
      <c r="B206" s="45">
        <v>44629</v>
      </c>
      <c r="C206" s="1">
        <f t="shared" si="3"/>
        <v>30</v>
      </c>
      <c r="D206" t="s">
        <v>972</v>
      </c>
    </row>
    <row r="207" spans="2:4">
      <c r="B207" s="45">
        <v>44630</v>
      </c>
      <c r="C207" s="1">
        <f t="shared" si="3"/>
        <v>30</v>
      </c>
      <c r="D207" t="s">
        <v>973</v>
      </c>
    </row>
    <row r="208" spans="2:4">
      <c r="B208" s="45">
        <v>44631</v>
      </c>
      <c r="C208" s="1">
        <f t="shared" si="3"/>
        <v>30</v>
      </c>
      <c r="D208" t="s">
        <v>974</v>
      </c>
    </row>
    <row r="209" spans="2:4">
      <c r="B209" s="45">
        <v>44632</v>
      </c>
      <c r="C209" s="1">
        <f t="shared" si="3"/>
        <v>30</v>
      </c>
      <c r="D209" t="s">
        <v>975</v>
      </c>
    </row>
    <row r="210" spans="2:4">
      <c r="B210" s="45">
        <v>44633</v>
      </c>
      <c r="C210" s="1">
        <f t="shared" si="3"/>
        <v>30</v>
      </c>
      <c r="D210" t="s">
        <v>976</v>
      </c>
    </row>
    <row r="211" spans="2:4">
      <c r="B211" s="45">
        <v>44634</v>
      </c>
      <c r="C211" s="1">
        <f t="shared" si="3"/>
        <v>31</v>
      </c>
      <c r="D211" t="s">
        <v>970</v>
      </c>
    </row>
    <row r="212" spans="2:4">
      <c r="B212" s="45">
        <v>44635</v>
      </c>
      <c r="C212" s="1">
        <f t="shared" si="3"/>
        <v>31</v>
      </c>
      <c r="D212" t="s">
        <v>971</v>
      </c>
    </row>
    <row r="213" spans="2:4">
      <c r="B213" s="45">
        <v>44636</v>
      </c>
      <c r="C213" s="1">
        <f t="shared" si="3"/>
        <v>31</v>
      </c>
      <c r="D213" t="s">
        <v>972</v>
      </c>
    </row>
    <row r="214" spans="2:4">
      <c r="B214" s="45">
        <v>44637</v>
      </c>
      <c r="C214" s="1">
        <f t="shared" si="3"/>
        <v>31</v>
      </c>
      <c r="D214" t="s">
        <v>973</v>
      </c>
    </row>
    <row r="215" spans="2:4">
      <c r="B215" s="45">
        <v>44638</v>
      </c>
      <c r="C215" s="1">
        <f t="shared" si="3"/>
        <v>31</v>
      </c>
      <c r="D215" t="s">
        <v>974</v>
      </c>
    </row>
    <row r="216" spans="2:4">
      <c r="B216" s="45">
        <v>44639</v>
      </c>
      <c r="C216" s="1">
        <f t="shared" si="3"/>
        <v>31</v>
      </c>
      <c r="D216" t="s">
        <v>975</v>
      </c>
    </row>
    <row r="217" spans="2:4">
      <c r="B217" s="45">
        <v>44640</v>
      </c>
      <c r="C217" s="1">
        <f t="shared" si="3"/>
        <v>31</v>
      </c>
      <c r="D217" t="s">
        <v>976</v>
      </c>
    </row>
    <row r="218" spans="2:4">
      <c r="B218" s="45">
        <v>44641</v>
      </c>
      <c r="C218" s="1">
        <f t="shared" si="3"/>
        <v>32</v>
      </c>
      <c r="D218" t="s">
        <v>970</v>
      </c>
    </row>
    <row r="219" spans="2:4">
      <c r="B219" s="45">
        <v>44642</v>
      </c>
      <c r="C219" s="1">
        <f t="shared" si="3"/>
        <v>32</v>
      </c>
      <c r="D219" t="s">
        <v>971</v>
      </c>
    </row>
    <row r="220" spans="2:4">
      <c r="B220" s="45">
        <v>44643</v>
      </c>
      <c r="C220" s="1">
        <f t="shared" si="3"/>
        <v>32</v>
      </c>
      <c r="D220" t="s">
        <v>972</v>
      </c>
    </row>
    <row r="221" spans="2:4">
      <c r="B221" s="45">
        <v>44644</v>
      </c>
      <c r="C221" s="1">
        <f t="shared" si="3"/>
        <v>32</v>
      </c>
      <c r="D221" t="s">
        <v>973</v>
      </c>
    </row>
    <row r="222" spans="2:4">
      <c r="B222" s="45">
        <v>44645</v>
      </c>
      <c r="C222" s="1">
        <f t="shared" si="3"/>
        <v>32</v>
      </c>
      <c r="D222" t="s">
        <v>974</v>
      </c>
    </row>
    <row r="223" spans="2:4">
      <c r="B223" s="45">
        <v>44646</v>
      </c>
      <c r="C223" s="1">
        <f t="shared" si="3"/>
        <v>32</v>
      </c>
      <c r="D223" t="s">
        <v>975</v>
      </c>
    </row>
    <row r="224" spans="2:4">
      <c r="B224" s="45">
        <v>44647</v>
      </c>
      <c r="C224" s="1">
        <f t="shared" si="3"/>
        <v>32</v>
      </c>
      <c r="D224" t="s">
        <v>976</v>
      </c>
    </row>
    <row r="225" spans="2:4">
      <c r="B225" s="45">
        <v>44648</v>
      </c>
      <c r="C225" s="1">
        <f t="shared" si="3"/>
        <v>33</v>
      </c>
      <c r="D225" t="s">
        <v>970</v>
      </c>
    </row>
    <row r="226" spans="2:4">
      <c r="B226" s="45">
        <v>44649</v>
      </c>
      <c r="C226" s="1">
        <f t="shared" si="3"/>
        <v>33</v>
      </c>
      <c r="D226" t="s">
        <v>971</v>
      </c>
    </row>
    <row r="227" spans="2:4">
      <c r="B227" s="45">
        <v>44650</v>
      </c>
      <c r="C227" s="1">
        <f t="shared" si="3"/>
        <v>33</v>
      </c>
      <c r="D227" t="s">
        <v>972</v>
      </c>
    </row>
    <row r="228" spans="2:4">
      <c r="B228" s="45">
        <v>44651</v>
      </c>
      <c r="C228" s="1">
        <f t="shared" si="3"/>
        <v>33</v>
      </c>
      <c r="D228" t="s">
        <v>973</v>
      </c>
    </row>
    <row r="229" spans="2:4">
      <c r="B229" s="45">
        <v>44652</v>
      </c>
      <c r="C229" s="1">
        <f t="shared" si="3"/>
        <v>33</v>
      </c>
      <c r="D229" t="s">
        <v>974</v>
      </c>
    </row>
    <row r="230" spans="2:4">
      <c r="B230" s="45">
        <v>44653</v>
      </c>
      <c r="C230" s="1">
        <f t="shared" si="3"/>
        <v>33</v>
      </c>
      <c r="D230" t="s">
        <v>975</v>
      </c>
    </row>
    <row r="231" spans="2:4">
      <c r="B231" s="45">
        <v>44654</v>
      </c>
      <c r="C231" s="1">
        <f t="shared" si="3"/>
        <v>33</v>
      </c>
      <c r="D231" t="s">
        <v>976</v>
      </c>
    </row>
    <row r="232" spans="2:4">
      <c r="B232" s="45">
        <v>44655</v>
      </c>
      <c r="C232" s="1">
        <f t="shared" si="3"/>
        <v>34</v>
      </c>
      <c r="D232" t="s">
        <v>970</v>
      </c>
    </row>
    <row r="233" spans="2:4">
      <c r="B233" s="45">
        <v>44656</v>
      </c>
      <c r="C233" s="1">
        <f t="shared" si="3"/>
        <v>34</v>
      </c>
      <c r="D233" t="s">
        <v>971</v>
      </c>
    </row>
    <row r="234" spans="2:4">
      <c r="B234" s="45">
        <v>44657</v>
      </c>
      <c r="C234" s="1">
        <f t="shared" si="3"/>
        <v>34</v>
      </c>
      <c r="D234" t="s">
        <v>972</v>
      </c>
    </row>
    <row r="235" spans="2:4">
      <c r="B235" s="45">
        <v>44658</v>
      </c>
      <c r="C235" s="1">
        <f t="shared" si="3"/>
        <v>34</v>
      </c>
      <c r="D235" t="s">
        <v>973</v>
      </c>
    </row>
    <row r="236" spans="2:4">
      <c r="B236" s="45">
        <v>44659</v>
      </c>
      <c r="C236" s="1">
        <f t="shared" si="3"/>
        <v>34</v>
      </c>
      <c r="D236" t="s">
        <v>974</v>
      </c>
    </row>
    <row r="237" spans="2:4">
      <c r="B237" s="45">
        <v>44660</v>
      </c>
      <c r="C237" s="1">
        <f t="shared" si="3"/>
        <v>34</v>
      </c>
      <c r="D237" t="s">
        <v>975</v>
      </c>
    </row>
    <row r="238" spans="2:4">
      <c r="B238" s="45">
        <v>44661</v>
      </c>
      <c r="C238" s="1">
        <f t="shared" si="3"/>
        <v>34</v>
      </c>
      <c r="D238" t="s">
        <v>976</v>
      </c>
    </row>
    <row r="239" spans="2:4">
      <c r="B239" s="45">
        <v>44662</v>
      </c>
      <c r="C239" s="1">
        <f t="shared" si="3"/>
        <v>35</v>
      </c>
      <c r="D239" t="s">
        <v>970</v>
      </c>
    </row>
    <row r="240" spans="2:4">
      <c r="B240" s="45">
        <v>44663</v>
      </c>
      <c r="C240" s="1">
        <f t="shared" si="3"/>
        <v>35</v>
      </c>
      <c r="D240" t="s">
        <v>971</v>
      </c>
    </row>
    <row r="241" spans="2:4">
      <c r="B241" s="45">
        <v>44664</v>
      </c>
      <c r="C241" s="1">
        <f t="shared" si="3"/>
        <v>35</v>
      </c>
      <c r="D241" t="s">
        <v>972</v>
      </c>
    </row>
    <row r="242" spans="2:4">
      <c r="B242" s="45">
        <v>44665</v>
      </c>
      <c r="C242" s="1">
        <f t="shared" si="3"/>
        <v>35</v>
      </c>
      <c r="D242" t="s">
        <v>973</v>
      </c>
    </row>
    <row r="243" spans="2:4">
      <c r="B243" s="45">
        <v>44666</v>
      </c>
      <c r="C243" s="1">
        <f t="shared" si="3"/>
        <v>35</v>
      </c>
      <c r="D243" t="s">
        <v>974</v>
      </c>
    </row>
    <row r="244" spans="2:4">
      <c r="B244" s="45">
        <v>44667</v>
      </c>
      <c r="C244" s="1">
        <f t="shared" si="3"/>
        <v>35</v>
      </c>
      <c r="D244" t="s">
        <v>975</v>
      </c>
    </row>
    <row r="245" spans="2:4">
      <c r="B245" s="45">
        <v>44668</v>
      </c>
      <c r="C245" s="1">
        <f t="shared" si="3"/>
        <v>35</v>
      </c>
      <c r="D245" t="s">
        <v>976</v>
      </c>
    </row>
    <row r="246" spans="2:4">
      <c r="B246" s="45">
        <v>44669</v>
      </c>
      <c r="C246" s="1">
        <f t="shared" si="3"/>
        <v>36</v>
      </c>
      <c r="D246" t="s">
        <v>970</v>
      </c>
    </row>
    <row r="247" spans="2:4">
      <c r="B247" s="45">
        <v>44670</v>
      </c>
      <c r="C247" s="1">
        <f t="shared" si="3"/>
        <v>36</v>
      </c>
      <c r="D247" t="s">
        <v>971</v>
      </c>
    </row>
    <row r="248" spans="2:4">
      <c r="B248" s="45">
        <v>44671</v>
      </c>
      <c r="C248" s="1">
        <f t="shared" si="3"/>
        <v>36</v>
      </c>
      <c r="D248" t="s">
        <v>972</v>
      </c>
    </row>
    <row r="249" spans="2:4">
      <c r="B249" s="45">
        <v>44672</v>
      </c>
      <c r="C249" s="1">
        <f t="shared" si="3"/>
        <v>36</v>
      </c>
      <c r="D249" t="s">
        <v>973</v>
      </c>
    </row>
    <row r="250" spans="2:4">
      <c r="B250" s="45">
        <v>44673</v>
      </c>
      <c r="C250" s="1">
        <f t="shared" si="3"/>
        <v>36</v>
      </c>
      <c r="D250" t="s">
        <v>974</v>
      </c>
    </row>
    <row r="251" spans="2:4">
      <c r="B251" s="45">
        <v>44674</v>
      </c>
      <c r="C251" s="1">
        <f t="shared" si="3"/>
        <v>36</v>
      </c>
      <c r="D251" t="s">
        <v>975</v>
      </c>
    </row>
    <row r="252" spans="2:4">
      <c r="B252" s="45">
        <v>44675</v>
      </c>
      <c r="C252" s="1">
        <f t="shared" si="3"/>
        <v>36</v>
      </c>
      <c r="D252" t="s">
        <v>976</v>
      </c>
    </row>
    <row r="253" spans="2:4">
      <c r="B253" s="45">
        <v>44676</v>
      </c>
      <c r="C253" s="1">
        <f t="shared" si="3"/>
        <v>37</v>
      </c>
      <c r="D253" t="s">
        <v>970</v>
      </c>
    </row>
    <row r="254" spans="2:4">
      <c r="B254" s="45">
        <v>44677</v>
      </c>
      <c r="C254" s="1">
        <f t="shared" si="3"/>
        <v>37</v>
      </c>
      <c r="D254" t="s">
        <v>971</v>
      </c>
    </row>
    <row r="255" spans="2:4">
      <c r="B255" s="45">
        <v>44678</v>
      </c>
      <c r="C255" s="1">
        <f t="shared" si="3"/>
        <v>37</v>
      </c>
      <c r="D255" t="s">
        <v>972</v>
      </c>
    </row>
    <row r="256" spans="2:4">
      <c r="B256" s="45">
        <v>44679</v>
      </c>
      <c r="C256" s="1">
        <f t="shared" si="3"/>
        <v>37</v>
      </c>
      <c r="D256" t="s">
        <v>973</v>
      </c>
    </row>
    <row r="257" spans="2:4">
      <c r="B257" s="45">
        <v>44680</v>
      </c>
      <c r="C257" s="1">
        <f t="shared" si="3"/>
        <v>37</v>
      </c>
      <c r="D257" t="s">
        <v>974</v>
      </c>
    </row>
    <row r="258" spans="2:4">
      <c r="B258" s="45">
        <v>44681</v>
      </c>
      <c r="C258" s="1">
        <f t="shared" si="3"/>
        <v>37</v>
      </c>
      <c r="D258" t="s">
        <v>975</v>
      </c>
    </row>
    <row r="259" spans="2:4">
      <c r="B259" s="45">
        <v>44682</v>
      </c>
      <c r="C259" s="1">
        <f t="shared" si="3"/>
        <v>37</v>
      </c>
      <c r="D259" t="s">
        <v>976</v>
      </c>
    </row>
    <row r="260" spans="2:4">
      <c r="B260" s="45">
        <v>44683</v>
      </c>
      <c r="C260" s="1">
        <f t="shared" si="3"/>
        <v>38</v>
      </c>
      <c r="D260" t="s">
        <v>970</v>
      </c>
    </row>
    <row r="261" spans="2:4">
      <c r="B261" s="45">
        <v>44684</v>
      </c>
      <c r="C261" s="1">
        <f t="shared" si="3"/>
        <v>38</v>
      </c>
      <c r="D261" t="s">
        <v>971</v>
      </c>
    </row>
    <row r="262" spans="2:4">
      <c r="B262" s="45">
        <v>44685</v>
      </c>
      <c r="C262" s="1">
        <f t="shared" si="3"/>
        <v>38</v>
      </c>
      <c r="D262" t="s">
        <v>972</v>
      </c>
    </row>
    <row r="263" spans="2:4">
      <c r="B263" s="45">
        <v>44686</v>
      </c>
      <c r="C263" s="1">
        <f t="shared" si="3"/>
        <v>38</v>
      </c>
      <c r="D263" t="s">
        <v>973</v>
      </c>
    </row>
    <row r="264" spans="2:4">
      <c r="B264" s="45">
        <v>44687</v>
      </c>
      <c r="C264" s="1">
        <f t="shared" si="3"/>
        <v>38</v>
      </c>
      <c r="D264" t="s">
        <v>974</v>
      </c>
    </row>
    <row r="265" spans="2:4">
      <c r="B265" s="45">
        <v>44688</v>
      </c>
      <c r="C265" s="1">
        <f t="shared" ref="C265:C301" si="4">C258+1</f>
        <v>38</v>
      </c>
      <c r="D265" t="s">
        <v>975</v>
      </c>
    </row>
    <row r="266" spans="2:4">
      <c r="B266" s="45">
        <v>44689</v>
      </c>
      <c r="C266" s="1">
        <f t="shared" si="4"/>
        <v>38</v>
      </c>
      <c r="D266" t="s">
        <v>976</v>
      </c>
    </row>
    <row r="267" spans="2:4">
      <c r="B267" s="45">
        <v>44690</v>
      </c>
      <c r="C267" s="1">
        <f t="shared" si="4"/>
        <v>39</v>
      </c>
      <c r="D267" t="s">
        <v>970</v>
      </c>
    </row>
    <row r="268" spans="2:4">
      <c r="B268" s="45">
        <v>44691</v>
      </c>
      <c r="C268" s="1">
        <f t="shared" si="4"/>
        <v>39</v>
      </c>
      <c r="D268" t="s">
        <v>971</v>
      </c>
    </row>
    <row r="269" spans="2:4">
      <c r="B269" s="45">
        <v>44692</v>
      </c>
      <c r="C269" s="1">
        <f t="shared" si="4"/>
        <v>39</v>
      </c>
      <c r="D269" t="s">
        <v>972</v>
      </c>
    </row>
    <row r="270" spans="2:4">
      <c r="B270" s="45">
        <v>44693</v>
      </c>
      <c r="C270" s="1">
        <f t="shared" si="4"/>
        <v>39</v>
      </c>
      <c r="D270" t="s">
        <v>973</v>
      </c>
    </row>
    <row r="271" spans="2:4">
      <c r="B271" s="45">
        <v>44694</v>
      </c>
      <c r="C271" s="1">
        <f t="shared" si="4"/>
        <v>39</v>
      </c>
      <c r="D271" t="s">
        <v>974</v>
      </c>
    </row>
    <row r="272" spans="2:4">
      <c r="B272" s="45">
        <v>44695</v>
      </c>
      <c r="C272" s="1">
        <f t="shared" si="4"/>
        <v>39</v>
      </c>
      <c r="D272" t="s">
        <v>975</v>
      </c>
    </row>
    <row r="273" spans="2:4">
      <c r="B273" s="45">
        <v>44696</v>
      </c>
      <c r="C273" s="1">
        <f t="shared" si="4"/>
        <v>39</v>
      </c>
      <c r="D273" t="s">
        <v>976</v>
      </c>
    </row>
    <row r="274" spans="2:4">
      <c r="B274" s="45">
        <v>44697</v>
      </c>
      <c r="C274" s="1">
        <f t="shared" si="4"/>
        <v>40</v>
      </c>
      <c r="D274" t="s">
        <v>970</v>
      </c>
    </row>
    <row r="275" spans="2:4">
      <c r="B275" s="45">
        <v>44698</v>
      </c>
      <c r="C275" s="1">
        <f t="shared" si="4"/>
        <v>40</v>
      </c>
      <c r="D275" t="s">
        <v>971</v>
      </c>
    </row>
    <row r="276" spans="2:4">
      <c r="B276" s="45">
        <v>44699</v>
      </c>
      <c r="C276" s="1">
        <f t="shared" si="4"/>
        <v>40</v>
      </c>
      <c r="D276" t="s">
        <v>972</v>
      </c>
    </row>
    <row r="277" spans="2:4">
      <c r="B277" s="45">
        <v>44700</v>
      </c>
      <c r="C277" s="1">
        <f t="shared" si="4"/>
        <v>40</v>
      </c>
      <c r="D277" t="s">
        <v>973</v>
      </c>
    </row>
    <row r="278" spans="2:4">
      <c r="B278" s="45">
        <v>44701</v>
      </c>
      <c r="C278" s="1">
        <f t="shared" si="4"/>
        <v>40</v>
      </c>
      <c r="D278" t="s">
        <v>974</v>
      </c>
    </row>
    <row r="279" spans="2:4">
      <c r="B279" s="45">
        <v>44702</v>
      </c>
      <c r="C279" s="1">
        <f t="shared" si="4"/>
        <v>40</v>
      </c>
      <c r="D279" t="s">
        <v>975</v>
      </c>
    </row>
    <row r="280" spans="2:4">
      <c r="B280" s="45">
        <v>44703</v>
      </c>
      <c r="C280" s="1">
        <f t="shared" si="4"/>
        <v>40</v>
      </c>
      <c r="D280" t="s">
        <v>976</v>
      </c>
    </row>
    <row r="281" spans="2:4">
      <c r="B281" s="45">
        <v>44704</v>
      </c>
      <c r="C281" s="1">
        <f t="shared" si="4"/>
        <v>41</v>
      </c>
      <c r="D281" t="s">
        <v>970</v>
      </c>
    </row>
    <row r="282" spans="2:4">
      <c r="B282" s="45">
        <v>44705</v>
      </c>
      <c r="C282" s="1">
        <f t="shared" si="4"/>
        <v>41</v>
      </c>
      <c r="D282" t="s">
        <v>971</v>
      </c>
    </row>
    <row r="283" spans="2:4">
      <c r="B283" s="45">
        <v>44706</v>
      </c>
      <c r="C283" s="1">
        <f t="shared" si="4"/>
        <v>41</v>
      </c>
      <c r="D283" t="s">
        <v>972</v>
      </c>
    </row>
    <row r="284" spans="2:4">
      <c r="B284" s="45">
        <v>44707</v>
      </c>
      <c r="C284" s="1">
        <f t="shared" si="4"/>
        <v>41</v>
      </c>
      <c r="D284" t="s">
        <v>973</v>
      </c>
    </row>
    <row r="285" spans="2:4">
      <c r="B285" s="45">
        <v>44708</v>
      </c>
      <c r="C285" s="1">
        <f t="shared" si="4"/>
        <v>41</v>
      </c>
      <c r="D285" t="s">
        <v>974</v>
      </c>
    </row>
    <row r="286" spans="2:4">
      <c r="B286" s="45">
        <v>44709</v>
      </c>
      <c r="C286" s="1">
        <f t="shared" si="4"/>
        <v>41</v>
      </c>
      <c r="D286" t="s">
        <v>975</v>
      </c>
    </row>
    <row r="287" spans="2:4">
      <c r="B287" s="45">
        <v>44710</v>
      </c>
      <c r="C287" s="1">
        <f t="shared" si="4"/>
        <v>41</v>
      </c>
      <c r="D287" t="s">
        <v>976</v>
      </c>
    </row>
    <row r="288" spans="2:4">
      <c r="B288" s="45">
        <v>44711</v>
      </c>
      <c r="C288" s="1">
        <f t="shared" si="4"/>
        <v>42</v>
      </c>
      <c r="D288" t="s">
        <v>970</v>
      </c>
    </row>
    <row r="289" spans="2:4">
      <c r="B289" s="45">
        <v>44712</v>
      </c>
      <c r="C289" s="1">
        <f t="shared" si="4"/>
        <v>42</v>
      </c>
      <c r="D289" t="s">
        <v>971</v>
      </c>
    </row>
    <row r="290" spans="2:4">
      <c r="B290" s="45">
        <v>44713</v>
      </c>
      <c r="C290" s="1">
        <f t="shared" si="4"/>
        <v>42</v>
      </c>
      <c r="D290" t="s">
        <v>972</v>
      </c>
    </row>
    <row r="291" spans="2:4">
      <c r="B291" s="45">
        <v>44714</v>
      </c>
      <c r="C291" s="1">
        <f t="shared" si="4"/>
        <v>42</v>
      </c>
      <c r="D291" t="s">
        <v>973</v>
      </c>
    </row>
    <row r="292" spans="2:4">
      <c r="B292" s="45">
        <v>44715</v>
      </c>
      <c r="C292" s="1">
        <f t="shared" si="4"/>
        <v>42</v>
      </c>
      <c r="D292" t="s">
        <v>974</v>
      </c>
    </row>
    <row r="293" spans="2:4">
      <c r="B293" s="45">
        <v>44716</v>
      </c>
      <c r="C293" s="1">
        <f t="shared" si="4"/>
        <v>42</v>
      </c>
      <c r="D293" t="s">
        <v>975</v>
      </c>
    </row>
    <row r="294" spans="2:4">
      <c r="B294" s="45">
        <v>44717</v>
      </c>
      <c r="C294" s="1">
        <f t="shared" si="4"/>
        <v>42</v>
      </c>
      <c r="D294" t="s">
        <v>976</v>
      </c>
    </row>
    <row r="295" spans="2:4">
      <c r="B295" s="45">
        <v>44718</v>
      </c>
      <c r="C295" s="1">
        <f t="shared" si="4"/>
        <v>43</v>
      </c>
      <c r="D295" t="s">
        <v>970</v>
      </c>
    </row>
    <row r="296" spans="2:4">
      <c r="B296" s="45">
        <v>44719</v>
      </c>
      <c r="C296" s="1">
        <f t="shared" si="4"/>
        <v>43</v>
      </c>
      <c r="D296" t="s">
        <v>971</v>
      </c>
    </row>
    <row r="297" spans="2:4">
      <c r="B297" s="45">
        <v>44720</v>
      </c>
      <c r="C297" s="1">
        <f t="shared" si="4"/>
        <v>43</v>
      </c>
      <c r="D297" t="s">
        <v>972</v>
      </c>
    </row>
    <row r="298" spans="2:4">
      <c r="B298" s="45">
        <v>44721</v>
      </c>
      <c r="C298" s="1">
        <f t="shared" si="4"/>
        <v>43</v>
      </c>
      <c r="D298" t="s">
        <v>973</v>
      </c>
    </row>
    <row r="299" spans="2:4">
      <c r="B299" s="45">
        <v>44722</v>
      </c>
      <c r="C299" s="1">
        <f t="shared" si="4"/>
        <v>43</v>
      </c>
      <c r="D299" t="s">
        <v>974</v>
      </c>
    </row>
    <row r="300" spans="2:4">
      <c r="B300" s="45">
        <v>44723</v>
      </c>
      <c r="C300" s="1">
        <f t="shared" si="4"/>
        <v>43</v>
      </c>
      <c r="D300" t="s">
        <v>975</v>
      </c>
    </row>
    <row r="301" spans="2:4">
      <c r="B301" s="45">
        <v>44724</v>
      </c>
      <c r="C301" s="1">
        <f t="shared" si="4"/>
        <v>43</v>
      </c>
      <c r="D301" t="s">
        <v>976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55746-F0DE-4898-8C3C-1FDB8813AF3E}">
  <dimension ref="A1:D35"/>
  <sheetViews>
    <sheetView zoomScale="130" zoomScaleNormal="130" workbookViewId="0">
      <selection activeCell="A19" sqref="A19:XFD19"/>
    </sheetView>
  </sheetViews>
  <sheetFormatPr defaultRowHeight="15"/>
  <cols>
    <col min="1" max="1" width="30.5703125" bestFit="1" customWidth="1"/>
    <col min="2" max="2" width="23.28515625" style="8" bestFit="1" customWidth="1"/>
    <col min="3" max="3" width="9.85546875" style="8" bestFit="1" customWidth="1"/>
    <col min="4" max="4" width="12.140625" style="8" bestFit="1" customWidth="1"/>
  </cols>
  <sheetData>
    <row r="1" spans="1:4">
      <c r="A1" s="59" t="s">
        <v>1030</v>
      </c>
      <c r="B1" s="8" t="s">
        <v>1021</v>
      </c>
    </row>
    <row r="3" spans="1:4">
      <c r="A3" s="59" t="s">
        <v>1034</v>
      </c>
      <c r="B3" s="142" t="s">
        <v>1033</v>
      </c>
    </row>
    <row r="4" spans="1:4">
      <c r="A4" s="59" t="s">
        <v>978</v>
      </c>
      <c r="B4" s="8" t="s">
        <v>1019</v>
      </c>
      <c r="C4" s="8" t="s">
        <v>1018</v>
      </c>
      <c r="D4" s="8" t="s">
        <v>979</v>
      </c>
    </row>
    <row r="5" spans="1:4">
      <c r="A5" s="120" t="s">
        <v>721</v>
      </c>
      <c r="B5" s="144">
        <v>0.24772096710265556</v>
      </c>
      <c r="C5" s="144">
        <v>0.75227903289734444</v>
      </c>
      <c r="D5" s="144">
        <v>1</v>
      </c>
    </row>
    <row r="6" spans="1:4">
      <c r="A6" s="120" t="s">
        <v>167</v>
      </c>
      <c r="B6" s="144">
        <v>0.13858702989570013</v>
      </c>
      <c r="C6" s="144">
        <v>0.86141297010429985</v>
      </c>
      <c r="D6" s="144">
        <v>1</v>
      </c>
    </row>
    <row r="7" spans="1:4">
      <c r="A7" s="120" t="s">
        <v>413</v>
      </c>
      <c r="B7" s="144">
        <v>0.57761004134961225</v>
      </c>
      <c r="C7" s="144">
        <v>0.42238995865038781</v>
      </c>
      <c r="D7" s="144">
        <v>1</v>
      </c>
    </row>
    <row r="8" spans="1:4">
      <c r="A8" s="120" t="s">
        <v>752</v>
      </c>
      <c r="B8" s="144">
        <v>1</v>
      </c>
      <c r="C8" s="144">
        <v>0</v>
      </c>
      <c r="D8" s="144">
        <v>1</v>
      </c>
    </row>
    <row r="9" spans="1:4">
      <c r="A9" s="120" t="s">
        <v>529</v>
      </c>
      <c r="B9" s="144">
        <v>1</v>
      </c>
      <c r="C9" s="144">
        <v>0</v>
      </c>
      <c r="D9" s="144">
        <v>1</v>
      </c>
    </row>
    <row r="10" spans="1:4">
      <c r="A10" s="120" t="s">
        <v>463</v>
      </c>
      <c r="B10" s="144">
        <v>0.19811320754716982</v>
      </c>
      <c r="C10" s="144">
        <v>0.80188679245283023</v>
      </c>
      <c r="D10" s="144">
        <v>1</v>
      </c>
    </row>
    <row r="11" spans="1:4">
      <c r="A11" s="120" t="s">
        <v>589</v>
      </c>
      <c r="B11" s="144">
        <v>0</v>
      </c>
      <c r="C11" s="144">
        <v>1</v>
      </c>
      <c r="D11" s="144">
        <v>1</v>
      </c>
    </row>
    <row r="12" spans="1:4">
      <c r="A12" s="120" t="s">
        <v>29</v>
      </c>
      <c r="B12" s="144">
        <v>0.78946296026779217</v>
      </c>
      <c r="C12" s="144">
        <v>0.21053703973220783</v>
      </c>
      <c r="D12" s="144">
        <v>1</v>
      </c>
    </row>
    <row r="13" spans="1:4">
      <c r="A13" s="120" t="s">
        <v>217</v>
      </c>
      <c r="B13" s="144">
        <v>0.38396280966583479</v>
      </c>
      <c r="C13" s="144">
        <v>0.61603719033416515</v>
      </c>
      <c r="D13" s="144">
        <v>1</v>
      </c>
    </row>
    <row r="14" spans="1:4">
      <c r="A14" s="120" t="s">
        <v>488</v>
      </c>
      <c r="B14" s="144">
        <v>0.62323497906319991</v>
      </c>
      <c r="C14" s="144">
        <v>0.37676502093680009</v>
      </c>
      <c r="D14" s="144">
        <v>1</v>
      </c>
    </row>
    <row r="15" spans="1:4">
      <c r="A15" s="120" t="s">
        <v>503</v>
      </c>
      <c r="B15" s="144">
        <v>0.31868131868131866</v>
      </c>
      <c r="C15" s="144">
        <v>0.68131868131868134</v>
      </c>
      <c r="D15" s="144">
        <v>1</v>
      </c>
    </row>
    <row r="16" spans="1:4">
      <c r="A16" s="120" t="s">
        <v>451</v>
      </c>
      <c r="B16" s="144">
        <v>0.45986419526518629</v>
      </c>
      <c r="C16" s="144">
        <v>0.54013580473481371</v>
      </c>
      <c r="D16" s="144">
        <v>1</v>
      </c>
    </row>
    <row r="17" spans="1:4">
      <c r="A17" s="120" t="s">
        <v>118</v>
      </c>
      <c r="B17" s="144">
        <v>1</v>
      </c>
      <c r="C17" s="144">
        <v>0</v>
      </c>
      <c r="D17" s="144">
        <v>1</v>
      </c>
    </row>
    <row r="18" spans="1:4">
      <c r="A18" s="120" t="s">
        <v>274</v>
      </c>
      <c r="B18" s="144">
        <v>0.35672482024413354</v>
      </c>
      <c r="C18" s="144">
        <v>0.64327517975586646</v>
      </c>
      <c r="D18" s="144">
        <v>1</v>
      </c>
    </row>
    <row r="19" spans="1:4">
      <c r="A19" s="120" t="s">
        <v>1017</v>
      </c>
      <c r="B19" s="144">
        <v>0.56523337008452779</v>
      </c>
      <c r="C19" s="144">
        <v>0.43476662991547227</v>
      </c>
      <c r="D19" s="144">
        <v>1</v>
      </c>
    </row>
    <row r="20" spans="1:4">
      <c r="A20" s="120" t="s">
        <v>599</v>
      </c>
      <c r="B20" s="144">
        <v>0.15279568352194051</v>
      </c>
      <c r="C20" s="144">
        <v>0.84720431647805949</v>
      </c>
      <c r="D20" s="144">
        <v>1</v>
      </c>
    </row>
    <row r="21" spans="1:4">
      <c r="A21" s="120" t="s">
        <v>675</v>
      </c>
      <c r="B21" s="144">
        <v>0.44776119402985076</v>
      </c>
      <c r="C21" s="144">
        <v>0.55223880597014929</v>
      </c>
      <c r="D21" s="144">
        <v>1</v>
      </c>
    </row>
    <row r="22" spans="1:4">
      <c r="A22" s="120" t="s">
        <v>775</v>
      </c>
      <c r="B22" s="144">
        <v>0.40235935644098908</v>
      </c>
      <c r="C22" s="144">
        <v>0.59764064355901092</v>
      </c>
      <c r="D22" s="144">
        <v>1</v>
      </c>
    </row>
    <row r="23" spans="1:4">
      <c r="A23" s="120" t="s">
        <v>687</v>
      </c>
      <c r="B23" s="144">
        <v>1</v>
      </c>
      <c r="C23" s="144">
        <v>0</v>
      </c>
      <c r="D23" s="144">
        <v>1</v>
      </c>
    </row>
    <row r="24" spans="1:4">
      <c r="A24" s="120" t="s">
        <v>562</v>
      </c>
      <c r="B24" s="144">
        <v>0.52623399439170238</v>
      </c>
      <c r="C24" s="144">
        <v>0.47376600560829757</v>
      </c>
      <c r="D24" s="144">
        <v>1</v>
      </c>
    </row>
    <row r="25" spans="1:4">
      <c r="A25" s="120" t="s">
        <v>634</v>
      </c>
      <c r="B25" s="144">
        <v>0.15351618107620765</v>
      </c>
      <c r="C25" s="144">
        <v>0.84648381892379232</v>
      </c>
      <c r="D25" s="144">
        <v>1</v>
      </c>
    </row>
    <row r="26" spans="1:4">
      <c r="A26" s="120" t="s">
        <v>662</v>
      </c>
      <c r="B26" s="144">
        <v>0.15384615384615385</v>
      </c>
      <c r="C26" s="144">
        <v>0.84615384615384615</v>
      </c>
      <c r="D26" s="144">
        <v>1</v>
      </c>
    </row>
    <row r="27" spans="1:4">
      <c r="A27" s="120" t="s">
        <v>755</v>
      </c>
      <c r="B27" s="144">
        <v>0.31851905468495528</v>
      </c>
      <c r="C27" s="144">
        <v>0.68148094531504466</v>
      </c>
      <c r="D27" s="144">
        <v>1</v>
      </c>
    </row>
    <row r="28" spans="1:4">
      <c r="A28" s="120" t="s">
        <v>380</v>
      </c>
      <c r="B28" s="144">
        <v>0.26486813778256191</v>
      </c>
      <c r="C28" s="144">
        <v>0.73513186221743809</v>
      </c>
      <c r="D28" s="144">
        <v>1</v>
      </c>
    </row>
    <row r="29" spans="1:4">
      <c r="A29" s="120" t="s">
        <v>533</v>
      </c>
      <c r="B29" s="144">
        <v>0.28742225293711127</v>
      </c>
      <c r="C29" s="144">
        <v>0.71257774706288879</v>
      </c>
      <c r="D29" s="144">
        <v>1</v>
      </c>
    </row>
    <row r="30" spans="1:4">
      <c r="A30" s="120" t="s">
        <v>391</v>
      </c>
      <c r="B30" s="144">
        <v>0.62478082992402106</v>
      </c>
      <c r="C30" s="144">
        <v>0.37521917007597894</v>
      </c>
      <c r="D30" s="144">
        <v>1</v>
      </c>
    </row>
    <row r="31" spans="1:4">
      <c r="A31" s="120" t="s">
        <v>694</v>
      </c>
      <c r="B31" s="144">
        <v>0.48683772728162372</v>
      </c>
      <c r="C31" s="144">
        <v>0.51316227271837633</v>
      </c>
      <c r="D31" s="144">
        <v>1</v>
      </c>
    </row>
    <row r="32" spans="1:4">
      <c r="A32" s="120" t="s">
        <v>65</v>
      </c>
      <c r="B32" s="144">
        <v>0.25730234417382863</v>
      </c>
      <c r="C32" s="144">
        <v>0.74269765582617142</v>
      </c>
      <c r="D32" s="144">
        <v>1</v>
      </c>
    </row>
    <row r="33" spans="1:4">
      <c r="A33" s="120" t="s">
        <v>131</v>
      </c>
      <c r="B33" s="144">
        <v>0.54167046916318939</v>
      </c>
      <c r="C33" s="144">
        <v>0.45832953083681055</v>
      </c>
      <c r="D33" s="144">
        <v>1</v>
      </c>
    </row>
    <row r="34" spans="1:4">
      <c r="A34" s="120" t="s">
        <v>401</v>
      </c>
      <c r="B34" s="144">
        <v>0.45815899581589958</v>
      </c>
      <c r="C34" s="144">
        <v>0.54184100418410042</v>
      </c>
      <c r="D34" s="144">
        <v>1</v>
      </c>
    </row>
    <row r="35" spans="1:4">
      <c r="A35" s="120" t="s">
        <v>979</v>
      </c>
      <c r="B35" s="144">
        <v>0.31986542917341243</v>
      </c>
      <c r="C35" s="144">
        <v>0.68013457082658746</v>
      </c>
      <c r="D35" s="144">
        <v>1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6D9B6-AEDD-4F2E-98A3-DC4CD6937DEC}">
  <dimension ref="A1:C31"/>
  <sheetViews>
    <sheetView topLeftCell="A19" zoomScale="130" zoomScaleNormal="130" workbookViewId="0">
      <selection activeCell="J33" sqref="J33"/>
    </sheetView>
  </sheetViews>
  <sheetFormatPr defaultRowHeight="15"/>
  <cols>
    <col min="1" max="1" width="33.28515625" customWidth="1"/>
    <col min="2" max="2" width="18" style="35" customWidth="1"/>
    <col min="3" max="3" width="12.5703125" style="44" customWidth="1"/>
  </cols>
  <sheetData>
    <row r="1" spans="1:3">
      <c r="A1" s="38" t="s">
        <v>0</v>
      </c>
      <c r="B1" s="39">
        <v>2720.5</v>
      </c>
      <c r="C1" s="42">
        <f>B1/$B$31</f>
        <v>1.7727204870384187E-3</v>
      </c>
    </row>
    <row r="2" spans="1:3">
      <c r="A2" s="38" t="s">
        <v>29</v>
      </c>
      <c r="B2" s="39">
        <v>34356.199999999997</v>
      </c>
      <c r="C2" s="42">
        <f t="shared" ref="C2:C30" si="0">B2/$B$31</f>
        <v>2.2387038999003607E-2</v>
      </c>
    </row>
    <row r="3" spans="1:3">
      <c r="A3" s="38" t="s">
        <v>65</v>
      </c>
      <c r="B3" s="39">
        <v>70046.7</v>
      </c>
      <c r="C3" s="42">
        <f t="shared" si="0"/>
        <v>4.5643528814348099E-2</v>
      </c>
    </row>
    <row r="4" spans="1:3">
      <c r="A4" s="38" t="s">
        <v>118</v>
      </c>
      <c r="B4" s="39">
        <v>350</v>
      </c>
      <c r="C4" s="42">
        <f t="shared" si="0"/>
        <v>2.2806549180792005E-4</v>
      </c>
    </row>
    <row r="5" spans="1:3">
      <c r="A5" s="38" t="s">
        <v>131</v>
      </c>
      <c r="B5" s="39">
        <v>34912.199999999997</v>
      </c>
      <c r="C5" s="42">
        <f t="shared" si="0"/>
        <v>2.2749337323132762E-2</v>
      </c>
    </row>
    <row r="6" spans="1:3">
      <c r="A6" s="38" t="s">
        <v>167</v>
      </c>
      <c r="B6" s="39">
        <v>407381.7</v>
      </c>
      <c r="C6" s="42">
        <f t="shared" si="0"/>
        <v>0.26545630789727587</v>
      </c>
    </row>
    <row r="7" spans="1:3">
      <c r="A7" s="38" t="s">
        <v>217</v>
      </c>
      <c r="B7" s="39">
        <v>262864.09999999998</v>
      </c>
      <c r="C7" s="42">
        <f t="shared" si="0"/>
        <v>0.17128637212898937</v>
      </c>
    </row>
    <row r="8" spans="1:3">
      <c r="A8" s="38" t="s">
        <v>274</v>
      </c>
      <c r="B8" s="39">
        <v>53823.6</v>
      </c>
      <c r="C8" s="42">
        <f t="shared" si="0"/>
        <v>3.5072302299636475E-2</v>
      </c>
    </row>
    <row r="9" spans="1:3">
      <c r="A9" s="38" t="s">
        <v>380</v>
      </c>
      <c r="B9" s="39">
        <v>14863.2</v>
      </c>
      <c r="C9" s="42">
        <f t="shared" si="0"/>
        <v>9.6850943366842222E-3</v>
      </c>
    </row>
    <row r="10" spans="1:3">
      <c r="A10" s="38" t="s">
        <v>391</v>
      </c>
      <c r="B10" s="39">
        <v>1710.8</v>
      </c>
      <c r="C10" s="42">
        <f t="shared" si="0"/>
        <v>1.1147841239571132E-3</v>
      </c>
    </row>
    <row r="11" spans="1:3">
      <c r="A11" s="38" t="s">
        <v>401</v>
      </c>
      <c r="B11" s="39">
        <v>956.3</v>
      </c>
      <c r="C11" s="42">
        <f t="shared" si="0"/>
        <v>6.2314008518832558E-4</v>
      </c>
    </row>
    <row r="12" spans="1:3">
      <c r="A12" s="38" t="s">
        <v>413</v>
      </c>
      <c r="B12" s="39">
        <v>81742.7</v>
      </c>
      <c r="C12" s="42">
        <f t="shared" si="0"/>
        <v>5.3264825934877906E-2</v>
      </c>
    </row>
    <row r="13" spans="1:3">
      <c r="A13" s="38" t="s">
        <v>451</v>
      </c>
      <c r="B13" s="39">
        <v>27245.1</v>
      </c>
      <c r="C13" s="42">
        <f t="shared" si="0"/>
        <v>1.7753334659588463E-2</v>
      </c>
    </row>
    <row r="14" spans="1:3">
      <c r="A14" s="38" t="s">
        <v>463</v>
      </c>
      <c r="B14" s="39">
        <v>106000</v>
      </c>
      <c r="C14" s="42">
        <f t="shared" si="0"/>
        <v>6.9071263233255784E-2</v>
      </c>
    </row>
    <row r="15" spans="1:3">
      <c r="A15" s="38" t="s">
        <v>488</v>
      </c>
      <c r="B15" s="39">
        <v>20538.099999999999</v>
      </c>
      <c r="C15" s="42">
        <f t="shared" si="0"/>
        <v>1.3382948220857836E-2</v>
      </c>
    </row>
    <row r="16" spans="1:3">
      <c r="A16" s="38" t="s">
        <v>503</v>
      </c>
      <c r="B16" s="39">
        <v>9190</v>
      </c>
      <c r="C16" s="42">
        <f t="shared" si="0"/>
        <v>5.9883481991851008E-3</v>
      </c>
    </row>
    <row r="17" spans="1:3">
      <c r="A17" s="38" t="s">
        <v>529</v>
      </c>
      <c r="B17" s="39">
        <v>5600</v>
      </c>
      <c r="C17" s="42">
        <f t="shared" si="0"/>
        <v>3.6490478689267208E-3</v>
      </c>
    </row>
    <row r="18" spans="1:3">
      <c r="A18" s="38" t="s">
        <v>533</v>
      </c>
      <c r="B18" s="39">
        <v>14469.2</v>
      </c>
      <c r="C18" s="42">
        <f t="shared" si="0"/>
        <v>9.4283577544775916E-3</v>
      </c>
    </row>
    <row r="19" spans="1:3">
      <c r="A19" s="38" t="s">
        <v>562</v>
      </c>
      <c r="B19" s="39">
        <v>59198.6</v>
      </c>
      <c r="C19" s="42">
        <f t="shared" si="0"/>
        <v>3.8574736638115247E-2</v>
      </c>
    </row>
    <row r="20" spans="1:3">
      <c r="A20" s="38" t="s">
        <v>589</v>
      </c>
      <c r="B20" s="39">
        <v>8216.1</v>
      </c>
      <c r="C20" s="42">
        <f t="shared" si="0"/>
        <v>5.3537396778372921E-3</v>
      </c>
    </row>
    <row r="21" spans="1:3">
      <c r="A21" s="38" t="s">
        <v>599</v>
      </c>
      <c r="B21" s="39">
        <v>20944.099999999999</v>
      </c>
      <c r="C21" s="42">
        <f t="shared" si="0"/>
        <v>1.3647504191355023E-2</v>
      </c>
    </row>
    <row r="22" spans="1:3">
      <c r="A22" s="38" t="s">
        <v>634</v>
      </c>
      <c r="B22" s="39">
        <v>52685</v>
      </c>
      <c r="C22" s="42">
        <f t="shared" si="0"/>
        <v>3.433037267400077E-2</v>
      </c>
    </row>
    <row r="23" spans="1:3">
      <c r="A23" s="38" t="s">
        <v>662</v>
      </c>
      <c r="B23" s="39">
        <v>41600</v>
      </c>
      <c r="C23" s="42">
        <f t="shared" si="0"/>
        <v>2.7107212740598498E-2</v>
      </c>
    </row>
    <row r="24" spans="1:3">
      <c r="A24" s="38" t="s">
        <v>675</v>
      </c>
      <c r="B24" s="39">
        <v>5360.2</v>
      </c>
      <c r="C24" s="42">
        <f t="shared" si="0"/>
        <v>3.4927904262537514E-3</v>
      </c>
    </row>
    <row r="25" spans="1:3">
      <c r="A25" s="38" t="s">
        <v>687</v>
      </c>
      <c r="B25" s="39">
        <v>14749.5</v>
      </c>
      <c r="C25" s="42">
        <f t="shared" si="0"/>
        <v>9.6110056326311911E-3</v>
      </c>
    </row>
    <row r="26" spans="1:3">
      <c r="A26" s="38" t="s">
        <v>694</v>
      </c>
      <c r="B26" s="39">
        <v>51093</v>
      </c>
      <c r="C26" s="42">
        <f t="shared" si="0"/>
        <v>3.3293000494120172E-2</v>
      </c>
    </row>
    <row r="27" spans="1:3">
      <c r="A27" s="38" t="s">
        <v>721</v>
      </c>
      <c r="B27" s="39">
        <v>10092.299999999999</v>
      </c>
      <c r="C27" s="42">
        <f t="shared" si="0"/>
        <v>6.5763010370659186E-3</v>
      </c>
    </row>
    <row r="28" spans="1:3">
      <c r="A28" s="38" t="s">
        <v>752</v>
      </c>
      <c r="B28" s="39">
        <v>2000</v>
      </c>
      <c r="C28" s="42">
        <f t="shared" si="0"/>
        <v>1.3032313817595432E-3</v>
      </c>
    </row>
    <row r="29" spans="1:3">
      <c r="A29" s="38" t="s">
        <v>755</v>
      </c>
      <c r="B29" s="39">
        <v>82892.7</v>
      </c>
      <c r="C29" s="42">
        <f t="shared" si="0"/>
        <v>5.4014183979389639E-2</v>
      </c>
    </row>
    <row r="30" spans="1:3">
      <c r="A30" s="38" t="s">
        <v>775</v>
      </c>
      <c r="B30" s="39">
        <v>37045</v>
      </c>
      <c r="C30" s="42">
        <f t="shared" si="0"/>
        <v>2.4139103268641139E-2</v>
      </c>
    </row>
    <row r="31" spans="1:3">
      <c r="A31" s="41" t="s">
        <v>969</v>
      </c>
      <c r="B31" s="40">
        <f>SUM(B1:B30)</f>
        <v>1534646.9000000004</v>
      </c>
      <c r="C31" s="43">
        <f>SUM(C1:C30)</f>
        <v>0.99999999999999978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ORÇAMENTO GERAL</vt:lpstr>
      <vt:lpstr>Vico Edificação</vt:lpstr>
      <vt:lpstr>VICO</vt:lpstr>
      <vt:lpstr>Classificação</vt:lpstr>
      <vt:lpstr>Classificação 2</vt:lpstr>
      <vt:lpstr>classificação dos custos - graf</vt:lpstr>
      <vt:lpstr>SEMANAS</vt:lpstr>
      <vt:lpstr>MTMO</vt:lpstr>
      <vt:lpstr>peso tarefas</vt:lpstr>
      <vt:lpstr>PLANEJADO</vt:lpstr>
      <vt:lpstr>EXECUTADO</vt:lpstr>
      <vt:lpstr>CURVA S</vt:lpstr>
      <vt:lpstr>Planilha15</vt:lpstr>
      <vt:lpstr>FC- edificação</vt:lpstr>
      <vt:lpstr>Planilha4</vt:lpstr>
      <vt:lpstr>FC - outros</vt:lpstr>
      <vt:lpstr>FLUXO DE CAIXA</vt:lpstr>
      <vt:lpstr>DASHBOARD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Natacha Sauer</dc:creator>
  <cp:lastModifiedBy>Natacha Sauer</cp:lastModifiedBy>
  <dcterms:created xsi:type="dcterms:W3CDTF">2021-09-13T21:10:44Z</dcterms:created>
  <dcterms:modified xsi:type="dcterms:W3CDTF">2021-12-06T17:33:56Z</dcterms:modified>
</cp:coreProperties>
</file>