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5190c61168eb4c48/Área de Trabalho/Curso - Turma 2/Aula 4.1/"/>
    </mc:Choice>
  </mc:AlternateContent>
  <xr:revisionPtr revIDLastSave="264" documentId="8_{1AB4ADFF-0C18-433D-9725-2C0DD7B47B05}" xr6:coauthVersionLast="47" xr6:coauthVersionMax="47" xr10:uidLastSave="{6BC19481-BA27-4B88-ACE6-5B42ECA14817}"/>
  <bookViews>
    <workbookView xWindow="-120" yWindow="-120" windowWidth="38640" windowHeight="15840" activeTab="8" xr2:uid="{00000000-000D-0000-FFFF-FFFF00000000}"/>
  </bookViews>
  <sheets>
    <sheet name="SEMANAS" sheetId="2" r:id="rId1"/>
    <sheet name="CUSTO ATIVIDADE" sheetId="4" r:id="rId2"/>
    <sheet name="BANCO DE DADOS" sheetId="1" r:id="rId3"/>
    <sheet name="MT-MO" sheetId="7" r:id="rId4"/>
    <sheet name="TD - CURVA S" sheetId="5" r:id="rId5"/>
    <sheet name="CURVA S" sheetId="6" r:id="rId6"/>
    <sheet name="TD - FC" sheetId="8" r:id="rId7"/>
    <sheet name="FC - EDIFICAÇÃO" sheetId="9" r:id="rId8"/>
    <sheet name="FLUXO DE CAIXA" sheetId="10" r:id="rId9"/>
  </sheets>
  <externalReferences>
    <externalReference r:id="rId10"/>
  </externalReferences>
  <definedNames>
    <definedName name="_xlnm._FilterDatabase" localSheetId="2" hidden="1">'BANCO DE DADOS'!$A$1:$N$120</definedName>
  </definedNames>
  <calcPr calcId="191029"/>
  <pivotCaches>
    <pivotCache cacheId="39" r:id="rId11"/>
    <pivotCache cacheId="73" r:id="rId12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2" i="10" l="1"/>
  <c r="G52" i="10"/>
  <c r="W52" i="10" s="1"/>
  <c r="H52" i="10"/>
  <c r="I52" i="10"/>
  <c r="J52" i="10"/>
  <c r="J45" i="10" s="1"/>
  <c r="J8" i="10" s="1"/>
  <c r="K52" i="10"/>
  <c r="L52" i="10"/>
  <c r="M52" i="10"/>
  <c r="M45" i="10" s="1"/>
  <c r="M8" i="10" s="1"/>
  <c r="N52" i="10"/>
  <c r="O52" i="10"/>
  <c r="E52" i="10"/>
  <c r="R5" i="1"/>
  <c r="S5" i="1"/>
  <c r="R6" i="1"/>
  <c r="S6" i="1"/>
  <c r="R7" i="1"/>
  <c r="S7" i="1"/>
  <c r="R8" i="1"/>
  <c r="S8" i="1"/>
  <c r="R9" i="1"/>
  <c r="S9" i="1"/>
  <c r="R10" i="1"/>
  <c r="S10" i="1"/>
  <c r="R11" i="1"/>
  <c r="S11" i="1"/>
  <c r="R12" i="1"/>
  <c r="S12" i="1"/>
  <c r="R13" i="1"/>
  <c r="S13" i="1"/>
  <c r="R14" i="1"/>
  <c r="S14" i="1"/>
  <c r="R15" i="1"/>
  <c r="S15" i="1"/>
  <c r="R16" i="1"/>
  <c r="S16" i="1"/>
  <c r="R17" i="1"/>
  <c r="S17" i="1"/>
  <c r="R18" i="1"/>
  <c r="S18" i="1"/>
  <c r="R19" i="1"/>
  <c r="S19" i="1"/>
  <c r="R20" i="1"/>
  <c r="S20" i="1"/>
  <c r="R21" i="1"/>
  <c r="S21" i="1"/>
  <c r="R22" i="1"/>
  <c r="S22" i="1"/>
  <c r="R23" i="1"/>
  <c r="S23" i="1"/>
  <c r="R24" i="1"/>
  <c r="S24" i="1"/>
  <c r="R25" i="1"/>
  <c r="S25" i="1"/>
  <c r="R26" i="1"/>
  <c r="S26" i="1"/>
  <c r="R27" i="1"/>
  <c r="S27" i="1"/>
  <c r="R28" i="1"/>
  <c r="S28" i="1"/>
  <c r="R29" i="1"/>
  <c r="S29" i="1"/>
  <c r="R30" i="1"/>
  <c r="S30" i="1"/>
  <c r="R31" i="1"/>
  <c r="S31" i="1"/>
  <c r="R32" i="1"/>
  <c r="S32" i="1"/>
  <c r="R33" i="1"/>
  <c r="S33" i="1"/>
  <c r="R34" i="1"/>
  <c r="S34" i="1"/>
  <c r="R35" i="1"/>
  <c r="S35" i="1"/>
  <c r="R36" i="1"/>
  <c r="S36" i="1"/>
  <c r="R37" i="1"/>
  <c r="S37" i="1"/>
  <c r="R38" i="1"/>
  <c r="S38" i="1"/>
  <c r="R39" i="1"/>
  <c r="S39" i="1"/>
  <c r="R40" i="1"/>
  <c r="S40" i="1"/>
  <c r="R41" i="1"/>
  <c r="S41" i="1"/>
  <c r="R42" i="1"/>
  <c r="S42" i="1"/>
  <c r="R43" i="1"/>
  <c r="S43" i="1"/>
  <c r="R44" i="1"/>
  <c r="S44" i="1"/>
  <c r="R45" i="1"/>
  <c r="S45" i="1"/>
  <c r="R46" i="1"/>
  <c r="S46" i="1"/>
  <c r="R47" i="1"/>
  <c r="S47" i="1"/>
  <c r="R48" i="1"/>
  <c r="S48" i="1"/>
  <c r="R49" i="1"/>
  <c r="S49" i="1"/>
  <c r="R50" i="1"/>
  <c r="S50" i="1"/>
  <c r="R51" i="1"/>
  <c r="S51" i="1"/>
  <c r="R52" i="1"/>
  <c r="S52" i="1"/>
  <c r="R53" i="1"/>
  <c r="S53" i="1"/>
  <c r="R54" i="1"/>
  <c r="S54" i="1"/>
  <c r="R55" i="1"/>
  <c r="S55" i="1"/>
  <c r="R56" i="1"/>
  <c r="S56" i="1"/>
  <c r="R57" i="1"/>
  <c r="S57" i="1"/>
  <c r="R58" i="1"/>
  <c r="S58" i="1"/>
  <c r="R59" i="1"/>
  <c r="S59" i="1"/>
  <c r="R60" i="1"/>
  <c r="S60" i="1"/>
  <c r="R61" i="1"/>
  <c r="S61" i="1"/>
  <c r="R62" i="1"/>
  <c r="S62" i="1"/>
  <c r="R63" i="1"/>
  <c r="S63" i="1"/>
  <c r="R64" i="1"/>
  <c r="S64" i="1"/>
  <c r="R65" i="1"/>
  <c r="S65" i="1"/>
  <c r="R66" i="1"/>
  <c r="S66" i="1"/>
  <c r="R67" i="1"/>
  <c r="S67" i="1"/>
  <c r="R68" i="1"/>
  <c r="S68" i="1"/>
  <c r="R69" i="1"/>
  <c r="S69" i="1"/>
  <c r="R70" i="1"/>
  <c r="S70" i="1"/>
  <c r="R71" i="1"/>
  <c r="S71" i="1"/>
  <c r="R72" i="1"/>
  <c r="S72" i="1"/>
  <c r="R73" i="1"/>
  <c r="S73" i="1"/>
  <c r="R74" i="1"/>
  <c r="S74" i="1"/>
  <c r="R75" i="1"/>
  <c r="S75" i="1"/>
  <c r="R76" i="1"/>
  <c r="S76" i="1"/>
  <c r="R77" i="1"/>
  <c r="S77" i="1"/>
  <c r="R78" i="1"/>
  <c r="S78" i="1"/>
  <c r="R79" i="1"/>
  <c r="S79" i="1"/>
  <c r="R80" i="1"/>
  <c r="S80" i="1"/>
  <c r="R81" i="1"/>
  <c r="S81" i="1"/>
  <c r="R82" i="1"/>
  <c r="S82" i="1"/>
  <c r="R83" i="1"/>
  <c r="S83" i="1"/>
  <c r="R84" i="1"/>
  <c r="S84" i="1"/>
  <c r="R85" i="1"/>
  <c r="S85" i="1"/>
  <c r="R86" i="1"/>
  <c r="S86" i="1"/>
  <c r="R87" i="1"/>
  <c r="S87" i="1"/>
  <c r="R88" i="1"/>
  <c r="S88" i="1"/>
  <c r="R89" i="1"/>
  <c r="S89" i="1"/>
  <c r="R90" i="1"/>
  <c r="S90" i="1"/>
  <c r="R91" i="1"/>
  <c r="S91" i="1"/>
  <c r="R92" i="1"/>
  <c r="S92" i="1"/>
  <c r="R93" i="1"/>
  <c r="S93" i="1"/>
  <c r="R94" i="1"/>
  <c r="S94" i="1"/>
  <c r="R95" i="1"/>
  <c r="S95" i="1"/>
  <c r="R96" i="1"/>
  <c r="S96" i="1"/>
  <c r="R97" i="1"/>
  <c r="S97" i="1"/>
  <c r="R98" i="1"/>
  <c r="S98" i="1"/>
  <c r="R99" i="1"/>
  <c r="S99" i="1"/>
  <c r="R100" i="1"/>
  <c r="S100" i="1"/>
  <c r="R101" i="1"/>
  <c r="S101" i="1"/>
  <c r="R102" i="1"/>
  <c r="S102" i="1"/>
  <c r="R103" i="1"/>
  <c r="S103" i="1"/>
  <c r="R104" i="1"/>
  <c r="S104" i="1"/>
  <c r="R105" i="1"/>
  <c r="S105" i="1"/>
  <c r="R106" i="1"/>
  <c r="S106" i="1"/>
  <c r="R107" i="1"/>
  <c r="S107" i="1"/>
  <c r="R108" i="1"/>
  <c r="S108" i="1"/>
  <c r="R109" i="1"/>
  <c r="S109" i="1"/>
  <c r="R110" i="1"/>
  <c r="S110" i="1"/>
  <c r="R111" i="1"/>
  <c r="S111" i="1"/>
  <c r="R112" i="1"/>
  <c r="S112" i="1"/>
  <c r="R113" i="1"/>
  <c r="S113" i="1"/>
  <c r="R114" i="1"/>
  <c r="S114" i="1"/>
  <c r="R115" i="1"/>
  <c r="S115" i="1"/>
  <c r="R116" i="1"/>
  <c r="S116" i="1"/>
  <c r="R117" i="1"/>
  <c r="S117" i="1"/>
  <c r="R118" i="1"/>
  <c r="S118" i="1"/>
  <c r="R119" i="1"/>
  <c r="S119" i="1"/>
  <c r="R120" i="1"/>
  <c r="S120" i="1"/>
  <c r="S4" i="1"/>
  <c r="R4" i="1"/>
  <c r="W55" i="10"/>
  <c r="E44" i="10"/>
  <c r="F44" i="10"/>
  <c r="G44" i="10"/>
  <c r="H44" i="10"/>
  <c r="I44" i="10"/>
  <c r="J44" i="10"/>
  <c r="K44" i="10"/>
  <c r="L44" i="10"/>
  <c r="M44" i="10"/>
  <c r="N44" i="10"/>
  <c r="O44" i="10"/>
  <c r="P44" i="10"/>
  <c r="Q44" i="10"/>
  <c r="R44" i="10"/>
  <c r="S44" i="10"/>
  <c r="T44" i="10"/>
  <c r="U44" i="10"/>
  <c r="D44" i="10"/>
  <c r="W56" i="10"/>
  <c r="E55" i="10"/>
  <c r="W54" i="10"/>
  <c r="W53" i="10"/>
  <c r="J53" i="10"/>
  <c r="U50" i="10"/>
  <c r="T50" i="10"/>
  <c r="T45" i="10" s="1"/>
  <c r="T8" i="10" s="1"/>
  <c r="S50" i="10"/>
  <c r="S45" i="10" s="1"/>
  <c r="S8" i="10" s="1"/>
  <c r="R50" i="10"/>
  <c r="R45" i="10" s="1"/>
  <c r="R8" i="10" s="1"/>
  <c r="Q50" i="10"/>
  <c r="Q45" i="10" s="1"/>
  <c r="Q8" i="10" s="1"/>
  <c r="P50" i="10"/>
  <c r="P45" i="10" s="1"/>
  <c r="P8" i="10" s="1"/>
  <c r="O50" i="10"/>
  <c r="O45" i="10" s="1"/>
  <c r="O8" i="10" s="1"/>
  <c r="N50" i="10"/>
  <c r="M50" i="10"/>
  <c r="L50" i="10"/>
  <c r="K50" i="10"/>
  <c r="K45" i="10" s="1"/>
  <c r="K8" i="10" s="1"/>
  <c r="J50" i="10"/>
  <c r="I50" i="10"/>
  <c r="H50" i="10"/>
  <c r="G50" i="10"/>
  <c r="F50" i="10"/>
  <c r="E50" i="10"/>
  <c r="E45" i="10" s="1"/>
  <c r="E8" i="10" s="1"/>
  <c r="D50" i="10"/>
  <c r="E49" i="10"/>
  <c r="W49" i="10" s="1"/>
  <c r="W48" i="10"/>
  <c r="W47" i="10"/>
  <c r="U45" i="10"/>
  <c r="N45" i="10"/>
  <c r="N8" i="10" s="1"/>
  <c r="L45" i="10"/>
  <c r="L8" i="10" s="1"/>
  <c r="I45" i="10"/>
  <c r="I8" i="10" s="1"/>
  <c r="D45" i="10"/>
  <c r="D8" i="10" s="1"/>
  <c r="W39" i="10"/>
  <c r="U38" i="10"/>
  <c r="U7" i="10" s="1"/>
  <c r="T38" i="10"/>
  <c r="S38" i="10"/>
  <c r="R38" i="10"/>
  <c r="R7" i="10" s="1"/>
  <c r="R10" i="10" s="1"/>
  <c r="Q38" i="10"/>
  <c r="P38" i="10"/>
  <c r="O38" i="10"/>
  <c r="N38" i="10"/>
  <c r="N7" i="10" s="1"/>
  <c r="M38" i="10"/>
  <c r="M7" i="10" s="1"/>
  <c r="L38" i="10"/>
  <c r="K38" i="10"/>
  <c r="J38" i="10"/>
  <c r="I38" i="10"/>
  <c r="I7" i="10" s="1"/>
  <c r="H38" i="10"/>
  <c r="G38" i="10"/>
  <c r="F38" i="10"/>
  <c r="W38" i="10" s="1"/>
  <c r="E38" i="10"/>
  <c r="U8" i="10"/>
  <c r="T7" i="10"/>
  <c r="S7" i="10"/>
  <c r="Q7" i="10"/>
  <c r="P7" i="10"/>
  <c r="O7" i="10"/>
  <c r="L7" i="10"/>
  <c r="K7" i="10"/>
  <c r="J7" i="10"/>
  <c r="H7" i="10"/>
  <c r="G7" i="10"/>
  <c r="E7" i="10"/>
  <c r="D7" i="10"/>
  <c r="O5" i="9"/>
  <c r="N5" i="9"/>
  <c r="M5" i="9"/>
  <c r="L5" i="9"/>
  <c r="K5" i="9"/>
  <c r="J5" i="9"/>
  <c r="I5" i="9"/>
  <c r="H5" i="9"/>
  <c r="G5" i="9"/>
  <c r="F5" i="9"/>
  <c r="E5" i="9"/>
  <c r="T5" i="1"/>
  <c r="U5" i="1"/>
  <c r="T6" i="1"/>
  <c r="U6" i="1"/>
  <c r="T7" i="1"/>
  <c r="U7" i="1"/>
  <c r="T8" i="1"/>
  <c r="U8" i="1"/>
  <c r="T9" i="1"/>
  <c r="U9" i="1"/>
  <c r="T10" i="1"/>
  <c r="U10" i="1"/>
  <c r="T11" i="1"/>
  <c r="U11" i="1"/>
  <c r="T12" i="1"/>
  <c r="U12" i="1"/>
  <c r="T13" i="1"/>
  <c r="U13" i="1"/>
  <c r="T14" i="1"/>
  <c r="U14" i="1"/>
  <c r="T15" i="1"/>
  <c r="U15" i="1"/>
  <c r="T16" i="1"/>
  <c r="U16" i="1"/>
  <c r="T17" i="1"/>
  <c r="U17" i="1"/>
  <c r="T18" i="1"/>
  <c r="U18" i="1"/>
  <c r="T19" i="1"/>
  <c r="U19" i="1"/>
  <c r="T20" i="1"/>
  <c r="U20" i="1"/>
  <c r="T21" i="1"/>
  <c r="U21" i="1"/>
  <c r="T22" i="1"/>
  <c r="U22" i="1"/>
  <c r="T23" i="1"/>
  <c r="U23" i="1"/>
  <c r="T24" i="1"/>
  <c r="U24" i="1"/>
  <c r="T25" i="1"/>
  <c r="U25" i="1"/>
  <c r="T26" i="1"/>
  <c r="U26" i="1"/>
  <c r="T27" i="1"/>
  <c r="U27" i="1"/>
  <c r="T28" i="1"/>
  <c r="U28" i="1"/>
  <c r="T29" i="1"/>
  <c r="U29" i="1"/>
  <c r="T30" i="1"/>
  <c r="U30" i="1"/>
  <c r="T31" i="1"/>
  <c r="U31" i="1"/>
  <c r="T32" i="1"/>
  <c r="U32" i="1"/>
  <c r="T33" i="1"/>
  <c r="U33" i="1"/>
  <c r="T34" i="1"/>
  <c r="U34" i="1"/>
  <c r="T35" i="1"/>
  <c r="U35" i="1"/>
  <c r="T36" i="1"/>
  <c r="U36" i="1"/>
  <c r="T37" i="1"/>
  <c r="U37" i="1"/>
  <c r="T38" i="1"/>
  <c r="U38" i="1"/>
  <c r="T39" i="1"/>
  <c r="U39" i="1"/>
  <c r="T40" i="1"/>
  <c r="U40" i="1"/>
  <c r="T41" i="1"/>
  <c r="U41" i="1"/>
  <c r="T42" i="1"/>
  <c r="U42" i="1"/>
  <c r="T43" i="1"/>
  <c r="U43" i="1"/>
  <c r="T44" i="1"/>
  <c r="U44" i="1"/>
  <c r="T45" i="1"/>
  <c r="U45" i="1"/>
  <c r="T46" i="1"/>
  <c r="U46" i="1"/>
  <c r="T47" i="1"/>
  <c r="U47" i="1"/>
  <c r="T48" i="1"/>
  <c r="U48" i="1"/>
  <c r="T49" i="1"/>
  <c r="U49" i="1"/>
  <c r="T50" i="1"/>
  <c r="U50" i="1"/>
  <c r="T51" i="1"/>
  <c r="U51" i="1"/>
  <c r="T52" i="1"/>
  <c r="U52" i="1"/>
  <c r="T53" i="1"/>
  <c r="U53" i="1"/>
  <c r="T54" i="1"/>
  <c r="U54" i="1"/>
  <c r="T55" i="1"/>
  <c r="U55" i="1"/>
  <c r="T56" i="1"/>
  <c r="U56" i="1"/>
  <c r="T57" i="1"/>
  <c r="U57" i="1"/>
  <c r="T58" i="1"/>
  <c r="U58" i="1"/>
  <c r="T59" i="1"/>
  <c r="U59" i="1"/>
  <c r="T60" i="1"/>
  <c r="U60" i="1"/>
  <c r="T61" i="1"/>
  <c r="U61" i="1"/>
  <c r="T62" i="1"/>
  <c r="U62" i="1"/>
  <c r="T63" i="1"/>
  <c r="U63" i="1"/>
  <c r="T64" i="1"/>
  <c r="U64" i="1"/>
  <c r="T65" i="1"/>
  <c r="U65" i="1"/>
  <c r="T66" i="1"/>
  <c r="U66" i="1"/>
  <c r="T67" i="1"/>
  <c r="U67" i="1"/>
  <c r="T68" i="1"/>
  <c r="U68" i="1"/>
  <c r="T69" i="1"/>
  <c r="U69" i="1"/>
  <c r="T70" i="1"/>
  <c r="U70" i="1"/>
  <c r="T71" i="1"/>
  <c r="U71" i="1"/>
  <c r="T72" i="1"/>
  <c r="U72" i="1"/>
  <c r="T73" i="1"/>
  <c r="U73" i="1"/>
  <c r="T74" i="1"/>
  <c r="U74" i="1"/>
  <c r="T75" i="1"/>
  <c r="U75" i="1"/>
  <c r="T76" i="1"/>
  <c r="U76" i="1"/>
  <c r="T77" i="1"/>
  <c r="U77" i="1"/>
  <c r="T78" i="1"/>
  <c r="U78" i="1"/>
  <c r="T79" i="1"/>
  <c r="U79" i="1"/>
  <c r="T80" i="1"/>
  <c r="U80" i="1"/>
  <c r="T81" i="1"/>
  <c r="U81" i="1"/>
  <c r="T82" i="1"/>
  <c r="U82" i="1"/>
  <c r="T83" i="1"/>
  <c r="U83" i="1"/>
  <c r="T84" i="1"/>
  <c r="U84" i="1"/>
  <c r="T85" i="1"/>
  <c r="U85" i="1"/>
  <c r="T86" i="1"/>
  <c r="U86" i="1"/>
  <c r="T87" i="1"/>
  <c r="U87" i="1"/>
  <c r="T88" i="1"/>
  <c r="U88" i="1"/>
  <c r="T89" i="1"/>
  <c r="U89" i="1"/>
  <c r="T90" i="1"/>
  <c r="U90" i="1"/>
  <c r="T91" i="1"/>
  <c r="U91" i="1"/>
  <c r="T92" i="1"/>
  <c r="U92" i="1"/>
  <c r="T93" i="1"/>
  <c r="U93" i="1"/>
  <c r="T94" i="1"/>
  <c r="U94" i="1"/>
  <c r="T95" i="1"/>
  <c r="U95" i="1"/>
  <c r="T96" i="1"/>
  <c r="U96" i="1"/>
  <c r="T97" i="1"/>
  <c r="U97" i="1"/>
  <c r="T98" i="1"/>
  <c r="U98" i="1"/>
  <c r="T99" i="1"/>
  <c r="U99" i="1"/>
  <c r="T100" i="1"/>
  <c r="U100" i="1"/>
  <c r="T101" i="1"/>
  <c r="U101" i="1"/>
  <c r="T102" i="1"/>
  <c r="U102" i="1"/>
  <c r="T103" i="1"/>
  <c r="U103" i="1"/>
  <c r="T104" i="1"/>
  <c r="U104" i="1"/>
  <c r="T105" i="1"/>
  <c r="U105" i="1"/>
  <c r="T106" i="1"/>
  <c r="U106" i="1"/>
  <c r="T107" i="1"/>
  <c r="U107" i="1"/>
  <c r="T108" i="1"/>
  <c r="U108" i="1"/>
  <c r="T109" i="1"/>
  <c r="U109" i="1"/>
  <c r="T110" i="1"/>
  <c r="U110" i="1"/>
  <c r="T111" i="1"/>
  <c r="U111" i="1"/>
  <c r="T112" i="1"/>
  <c r="U112" i="1"/>
  <c r="T113" i="1"/>
  <c r="U113" i="1"/>
  <c r="T114" i="1"/>
  <c r="U114" i="1"/>
  <c r="T115" i="1"/>
  <c r="U115" i="1"/>
  <c r="T116" i="1"/>
  <c r="U116" i="1"/>
  <c r="T117" i="1"/>
  <c r="U117" i="1"/>
  <c r="T118" i="1"/>
  <c r="U118" i="1"/>
  <c r="T119" i="1"/>
  <c r="U119" i="1"/>
  <c r="T120" i="1"/>
  <c r="U120" i="1"/>
  <c r="U4" i="1"/>
  <c r="T4" i="1"/>
  <c r="Q94" i="1"/>
  <c r="P94" i="1"/>
  <c r="Q72" i="1"/>
  <c r="P72" i="1"/>
  <c r="Q50" i="1"/>
  <c r="P50" i="1"/>
  <c r="Q28" i="1"/>
  <c r="P28" i="1"/>
  <c r="Q120" i="1"/>
  <c r="Q119" i="1"/>
  <c r="Q117" i="1"/>
  <c r="Q116" i="1"/>
  <c r="Q114" i="1"/>
  <c r="Q113" i="1"/>
  <c r="Q111" i="1"/>
  <c r="Q110" i="1"/>
  <c r="Q108" i="1"/>
  <c r="Q107" i="1"/>
  <c r="Q105" i="1"/>
  <c r="Q104" i="1"/>
  <c r="Q101" i="1"/>
  <c r="Q100" i="1"/>
  <c r="Q99" i="1"/>
  <c r="Q98" i="1"/>
  <c r="Q96" i="1"/>
  <c r="Q95" i="1"/>
  <c r="Q93" i="1"/>
  <c r="Q92" i="1"/>
  <c r="Q91" i="1"/>
  <c r="Q90" i="1"/>
  <c r="Q89" i="1"/>
  <c r="Q88" i="1"/>
  <c r="Q87" i="1"/>
  <c r="Q86" i="1"/>
  <c r="Q85" i="1"/>
  <c r="Q84" i="1"/>
  <c r="Q83" i="1"/>
  <c r="Q82" i="1"/>
  <c r="Q81" i="1"/>
  <c r="Q80" i="1"/>
  <c r="Q79" i="1"/>
  <c r="Q78" i="1"/>
  <c r="Q77" i="1"/>
  <c r="Q76" i="1"/>
  <c r="Q74" i="1"/>
  <c r="Q73" i="1"/>
  <c r="Q71" i="1"/>
  <c r="Q70" i="1"/>
  <c r="Q69" i="1"/>
  <c r="Q68" i="1"/>
  <c r="Q67" i="1"/>
  <c r="Q66" i="1"/>
  <c r="Q65" i="1"/>
  <c r="Q64" i="1"/>
  <c r="Q63" i="1"/>
  <c r="Q62" i="1"/>
  <c r="Q61" i="1"/>
  <c r="Q60" i="1"/>
  <c r="Q59" i="1"/>
  <c r="Q58" i="1"/>
  <c r="Q57" i="1"/>
  <c r="Q56" i="1"/>
  <c r="Q55" i="1"/>
  <c r="Q54" i="1"/>
  <c r="Q52" i="1"/>
  <c r="Q51" i="1"/>
  <c r="Q49" i="1"/>
  <c r="Q48" i="1"/>
  <c r="Q47" i="1"/>
  <c r="Q46" i="1"/>
  <c r="Q45" i="1"/>
  <c r="Q44" i="1"/>
  <c r="Q43" i="1"/>
  <c r="Q42" i="1"/>
  <c r="Q41" i="1"/>
  <c r="Q40" i="1"/>
  <c r="Q39" i="1"/>
  <c r="Q38" i="1"/>
  <c r="Q37" i="1"/>
  <c r="Q36" i="1"/>
  <c r="Q35" i="1"/>
  <c r="Q34" i="1"/>
  <c r="Q33" i="1"/>
  <c r="Q32" i="1"/>
  <c r="Q30" i="1"/>
  <c r="Q29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Q8" i="1"/>
  <c r="Q7" i="1"/>
  <c r="Q6" i="1"/>
  <c r="Q5" i="1"/>
  <c r="Q4" i="1"/>
  <c r="P4" i="1"/>
  <c r="P5" i="1"/>
  <c r="P6" i="1"/>
  <c r="P7" i="1"/>
  <c r="P8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9" i="1"/>
  <c r="P30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1" i="1"/>
  <c r="P52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3" i="1"/>
  <c r="P74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5" i="1"/>
  <c r="P96" i="1"/>
  <c r="P98" i="1"/>
  <c r="P99" i="1"/>
  <c r="P100" i="1"/>
  <c r="P101" i="1"/>
  <c r="P104" i="1"/>
  <c r="P105" i="1"/>
  <c r="P107" i="1"/>
  <c r="P108" i="1"/>
  <c r="P110" i="1"/>
  <c r="P111" i="1"/>
  <c r="P113" i="1"/>
  <c r="P114" i="1"/>
  <c r="P116" i="1"/>
  <c r="P117" i="1"/>
  <c r="P119" i="1"/>
  <c r="P120" i="1"/>
  <c r="G45" i="10" l="1"/>
  <c r="G8" i="10" s="1"/>
  <c r="H45" i="10"/>
  <c r="H8" i="10" s="1"/>
  <c r="H10" i="10" s="1"/>
  <c r="W50" i="10"/>
  <c r="U10" i="10"/>
  <c r="Q10" i="10"/>
  <c r="S10" i="10"/>
  <c r="J10" i="10"/>
  <c r="G10" i="10"/>
  <c r="P10" i="10"/>
  <c r="E10" i="10"/>
  <c r="D10" i="10"/>
  <c r="D11" i="10" s="1"/>
  <c r="M10" i="10"/>
  <c r="K10" i="10"/>
  <c r="O10" i="10"/>
  <c r="I10" i="10"/>
  <c r="L10" i="10"/>
  <c r="T10" i="10"/>
  <c r="N10" i="10"/>
  <c r="W45" i="10"/>
  <c r="F45" i="10"/>
  <c r="F8" i="10" s="1"/>
  <c r="W8" i="10" s="1"/>
  <c r="F7" i="10"/>
  <c r="C48" i="6"/>
  <c r="E42" i="6" s="1"/>
  <c r="C40" i="6"/>
  <c r="C41" i="6"/>
  <c r="C42" i="6"/>
  <c r="C43" i="6"/>
  <c r="C44" i="6"/>
  <c r="C45" i="6"/>
  <c r="C46" i="6"/>
  <c r="C47" i="6"/>
  <c r="C39" i="6"/>
  <c r="C38" i="6"/>
  <c r="C37" i="6"/>
  <c r="C36" i="6"/>
  <c r="C35" i="6"/>
  <c r="C34" i="6"/>
  <c r="C33" i="6"/>
  <c r="C32" i="6"/>
  <c r="C31" i="6"/>
  <c r="C30" i="6"/>
  <c r="C29" i="6"/>
  <c r="C28" i="6"/>
  <c r="C27" i="6"/>
  <c r="C26" i="6"/>
  <c r="C25" i="6"/>
  <c r="C24" i="6"/>
  <c r="C23" i="6"/>
  <c r="C22" i="6"/>
  <c r="C21" i="6"/>
  <c r="C20" i="6"/>
  <c r="C19" i="6"/>
  <c r="C18" i="6"/>
  <c r="C17" i="6"/>
  <c r="C16" i="6"/>
  <c r="C15" i="6"/>
  <c r="C14" i="6"/>
  <c r="C13" i="6"/>
  <c r="C12" i="6"/>
  <c r="C11" i="6"/>
  <c r="C10" i="6"/>
  <c r="C9" i="6"/>
  <c r="C8" i="6"/>
  <c r="C7" i="6"/>
  <c r="C6" i="6"/>
  <c r="C5" i="6"/>
  <c r="C4" i="6"/>
  <c r="C3" i="6"/>
  <c r="N3" i="1"/>
  <c r="N4" i="1"/>
  <c r="N2" i="1"/>
  <c r="L100" i="1"/>
  <c r="M100" i="1" s="1"/>
  <c r="L72" i="1"/>
  <c r="M72" i="1" s="1"/>
  <c r="L94" i="1"/>
  <c r="M94" i="1" s="1"/>
  <c r="L50" i="1"/>
  <c r="M50" i="1" s="1"/>
  <c r="L28" i="1"/>
  <c r="M28" i="1" s="1"/>
  <c r="L120" i="1"/>
  <c r="M120" i="1" s="1"/>
  <c r="L119" i="1"/>
  <c r="M119" i="1" s="1"/>
  <c r="L117" i="1"/>
  <c r="M117" i="1" s="1"/>
  <c r="L116" i="1"/>
  <c r="M116" i="1" s="1"/>
  <c r="L114" i="1"/>
  <c r="M114" i="1" s="1"/>
  <c r="L113" i="1"/>
  <c r="M113" i="1" s="1"/>
  <c r="L111" i="1"/>
  <c r="M111" i="1" s="1"/>
  <c r="L110" i="1"/>
  <c r="M110" i="1" s="1"/>
  <c r="L108" i="1"/>
  <c r="M108" i="1" s="1"/>
  <c r="L107" i="1"/>
  <c r="M107" i="1" s="1"/>
  <c r="L105" i="1"/>
  <c r="M105" i="1" s="1"/>
  <c r="L104" i="1"/>
  <c r="M104" i="1" s="1"/>
  <c r="L101" i="1"/>
  <c r="M101" i="1" s="1"/>
  <c r="L99" i="1"/>
  <c r="M99" i="1" s="1"/>
  <c r="L98" i="1"/>
  <c r="M98" i="1" s="1"/>
  <c r="L96" i="1"/>
  <c r="M96" i="1" s="1"/>
  <c r="L95" i="1"/>
  <c r="M95" i="1" s="1"/>
  <c r="L93" i="1"/>
  <c r="M93" i="1" s="1"/>
  <c r="L92" i="1"/>
  <c r="M92" i="1" s="1"/>
  <c r="L91" i="1"/>
  <c r="M91" i="1" s="1"/>
  <c r="L90" i="1"/>
  <c r="M90" i="1" s="1"/>
  <c r="L89" i="1"/>
  <c r="M89" i="1" s="1"/>
  <c r="L88" i="1"/>
  <c r="M88" i="1" s="1"/>
  <c r="L87" i="1"/>
  <c r="M87" i="1" s="1"/>
  <c r="L86" i="1"/>
  <c r="M86" i="1" s="1"/>
  <c r="L85" i="1"/>
  <c r="M85" i="1" s="1"/>
  <c r="L84" i="1"/>
  <c r="M84" i="1" s="1"/>
  <c r="L83" i="1"/>
  <c r="M83" i="1" s="1"/>
  <c r="L82" i="1"/>
  <c r="M82" i="1" s="1"/>
  <c r="L81" i="1"/>
  <c r="M81" i="1" s="1"/>
  <c r="L80" i="1"/>
  <c r="M80" i="1" s="1"/>
  <c r="L79" i="1"/>
  <c r="M79" i="1" s="1"/>
  <c r="L78" i="1"/>
  <c r="M78" i="1" s="1"/>
  <c r="L77" i="1"/>
  <c r="M77" i="1" s="1"/>
  <c r="L76" i="1"/>
  <c r="M76" i="1" s="1"/>
  <c r="L74" i="1"/>
  <c r="M74" i="1" s="1"/>
  <c r="L73" i="1"/>
  <c r="M73" i="1" s="1"/>
  <c r="L71" i="1"/>
  <c r="M71" i="1" s="1"/>
  <c r="L70" i="1"/>
  <c r="M70" i="1" s="1"/>
  <c r="L69" i="1"/>
  <c r="M69" i="1" s="1"/>
  <c r="L68" i="1"/>
  <c r="M68" i="1" s="1"/>
  <c r="L67" i="1"/>
  <c r="M67" i="1" s="1"/>
  <c r="L66" i="1"/>
  <c r="M66" i="1" s="1"/>
  <c r="L65" i="1"/>
  <c r="M65" i="1" s="1"/>
  <c r="L64" i="1"/>
  <c r="M64" i="1" s="1"/>
  <c r="L63" i="1"/>
  <c r="M63" i="1" s="1"/>
  <c r="L62" i="1"/>
  <c r="M62" i="1" s="1"/>
  <c r="L61" i="1"/>
  <c r="M61" i="1" s="1"/>
  <c r="L60" i="1"/>
  <c r="M60" i="1" s="1"/>
  <c r="L59" i="1"/>
  <c r="M59" i="1" s="1"/>
  <c r="L58" i="1"/>
  <c r="M58" i="1" s="1"/>
  <c r="L57" i="1"/>
  <c r="M57" i="1" s="1"/>
  <c r="L56" i="1"/>
  <c r="M56" i="1" s="1"/>
  <c r="L55" i="1"/>
  <c r="M55" i="1" s="1"/>
  <c r="L54" i="1"/>
  <c r="M54" i="1" s="1"/>
  <c r="L52" i="1"/>
  <c r="M52" i="1" s="1"/>
  <c r="L51" i="1"/>
  <c r="M51" i="1" s="1"/>
  <c r="L49" i="1"/>
  <c r="M49" i="1" s="1"/>
  <c r="L48" i="1"/>
  <c r="M48" i="1" s="1"/>
  <c r="L47" i="1"/>
  <c r="M47" i="1" s="1"/>
  <c r="L46" i="1"/>
  <c r="M46" i="1" s="1"/>
  <c r="L45" i="1"/>
  <c r="M45" i="1" s="1"/>
  <c r="L44" i="1"/>
  <c r="M44" i="1" s="1"/>
  <c r="L43" i="1"/>
  <c r="M43" i="1" s="1"/>
  <c r="L42" i="1"/>
  <c r="M42" i="1" s="1"/>
  <c r="L41" i="1"/>
  <c r="M41" i="1" s="1"/>
  <c r="L40" i="1"/>
  <c r="M40" i="1" s="1"/>
  <c r="L39" i="1"/>
  <c r="M39" i="1" s="1"/>
  <c r="L38" i="1"/>
  <c r="M38" i="1" s="1"/>
  <c r="L37" i="1"/>
  <c r="M37" i="1" s="1"/>
  <c r="L36" i="1"/>
  <c r="M36" i="1" s="1"/>
  <c r="L35" i="1"/>
  <c r="M35" i="1" s="1"/>
  <c r="L34" i="1"/>
  <c r="M34" i="1" s="1"/>
  <c r="L33" i="1"/>
  <c r="M33" i="1" s="1"/>
  <c r="L32" i="1"/>
  <c r="M32" i="1" s="1"/>
  <c r="L30" i="1"/>
  <c r="M30" i="1" s="1"/>
  <c r="L29" i="1"/>
  <c r="M29" i="1" s="1"/>
  <c r="L27" i="1"/>
  <c r="M27" i="1" s="1"/>
  <c r="L26" i="1"/>
  <c r="M26" i="1" s="1"/>
  <c r="L25" i="1"/>
  <c r="M25" i="1" s="1"/>
  <c r="L24" i="1"/>
  <c r="M24" i="1" s="1"/>
  <c r="L23" i="1"/>
  <c r="M23" i="1" s="1"/>
  <c r="L22" i="1"/>
  <c r="M22" i="1" s="1"/>
  <c r="L21" i="1"/>
  <c r="M21" i="1" s="1"/>
  <c r="L20" i="1"/>
  <c r="M20" i="1" s="1"/>
  <c r="L19" i="1"/>
  <c r="M19" i="1" s="1"/>
  <c r="L18" i="1"/>
  <c r="M18" i="1" s="1"/>
  <c r="L17" i="1"/>
  <c r="M17" i="1" s="1"/>
  <c r="L16" i="1"/>
  <c r="M16" i="1" s="1"/>
  <c r="L15" i="1"/>
  <c r="M15" i="1" s="1"/>
  <c r="L14" i="1"/>
  <c r="M14" i="1" s="1"/>
  <c r="L13" i="1"/>
  <c r="M13" i="1" s="1"/>
  <c r="L12" i="1"/>
  <c r="M12" i="1" s="1"/>
  <c r="L11" i="1"/>
  <c r="M11" i="1" s="1"/>
  <c r="L10" i="1"/>
  <c r="M10" i="1" s="1"/>
  <c r="L8" i="1"/>
  <c r="M8" i="1" s="1"/>
  <c r="L7" i="1"/>
  <c r="M7" i="1" s="1"/>
  <c r="L6" i="1"/>
  <c r="M6" i="1" s="1"/>
  <c r="L5" i="1"/>
  <c r="M5" i="1" s="1"/>
  <c r="L4" i="1"/>
  <c r="M4" i="1" s="1"/>
  <c r="B2" i="2"/>
  <c r="C18" i="2"/>
  <c r="C25" i="2" s="1"/>
  <c r="C32" i="2" s="1"/>
  <c r="C39" i="2" s="1"/>
  <c r="C46" i="2" s="1"/>
  <c r="C53" i="2" s="1"/>
  <c r="C60" i="2" s="1"/>
  <c r="C67" i="2" s="1"/>
  <c r="C74" i="2" s="1"/>
  <c r="C81" i="2" s="1"/>
  <c r="C88" i="2" s="1"/>
  <c r="C95" i="2" s="1"/>
  <c r="C102" i="2" s="1"/>
  <c r="C109" i="2" s="1"/>
  <c r="C116" i="2" s="1"/>
  <c r="C123" i="2" s="1"/>
  <c r="C130" i="2" s="1"/>
  <c r="C137" i="2" s="1"/>
  <c r="C144" i="2" s="1"/>
  <c r="C151" i="2" s="1"/>
  <c r="C158" i="2" s="1"/>
  <c r="C165" i="2" s="1"/>
  <c r="C172" i="2" s="1"/>
  <c r="C179" i="2" s="1"/>
  <c r="C186" i="2" s="1"/>
  <c r="C193" i="2" s="1"/>
  <c r="C200" i="2" s="1"/>
  <c r="C207" i="2" s="1"/>
  <c r="C214" i="2" s="1"/>
  <c r="C221" i="2" s="1"/>
  <c r="C228" i="2" s="1"/>
  <c r="C235" i="2" s="1"/>
  <c r="C242" i="2" s="1"/>
  <c r="C249" i="2" s="1"/>
  <c r="C256" i="2" s="1"/>
  <c r="C263" i="2" s="1"/>
  <c r="C270" i="2" s="1"/>
  <c r="C277" i="2" s="1"/>
  <c r="C284" i="2" s="1"/>
  <c r="C291" i="2" s="1"/>
  <c r="C298" i="2" s="1"/>
  <c r="C17" i="2"/>
  <c r="C24" i="2" s="1"/>
  <c r="C31" i="2" s="1"/>
  <c r="C38" i="2" s="1"/>
  <c r="C45" i="2" s="1"/>
  <c r="C52" i="2" s="1"/>
  <c r="C59" i="2" s="1"/>
  <c r="C66" i="2" s="1"/>
  <c r="C73" i="2" s="1"/>
  <c r="C80" i="2" s="1"/>
  <c r="C87" i="2" s="1"/>
  <c r="C94" i="2" s="1"/>
  <c r="C101" i="2" s="1"/>
  <c r="C108" i="2" s="1"/>
  <c r="C115" i="2" s="1"/>
  <c r="C122" i="2" s="1"/>
  <c r="C129" i="2" s="1"/>
  <c r="C136" i="2" s="1"/>
  <c r="C143" i="2" s="1"/>
  <c r="C150" i="2" s="1"/>
  <c r="C157" i="2" s="1"/>
  <c r="C164" i="2" s="1"/>
  <c r="C171" i="2" s="1"/>
  <c r="C178" i="2" s="1"/>
  <c r="C185" i="2" s="1"/>
  <c r="C192" i="2" s="1"/>
  <c r="C199" i="2" s="1"/>
  <c r="C206" i="2" s="1"/>
  <c r="C213" i="2" s="1"/>
  <c r="C220" i="2" s="1"/>
  <c r="C227" i="2" s="1"/>
  <c r="C234" i="2" s="1"/>
  <c r="C241" i="2" s="1"/>
  <c r="C248" i="2" s="1"/>
  <c r="C255" i="2" s="1"/>
  <c r="C262" i="2" s="1"/>
  <c r="C269" i="2" s="1"/>
  <c r="C276" i="2" s="1"/>
  <c r="C283" i="2" s="1"/>
  <c r="C290" i="2" s="1"/>
  <c r="C297" i="2" s="1"/>
  <c r="C16" i="2"/>
  <c r="C23" i="2" s="1"/>
  <c r="C30" i="2" s="1"/>
  <c r="C37" i="2" s="1"/>
  <c r="C44" i="2" s="1"/>
  <c r="C51" i="2" s="1"/>
  <c r="C58" i="2" s="1"/>
  <c r="C65" i="2" s="1"/>
  <c r="C72" i="2" s="1"/>
  <c r="C79" i="2" s="1"/>
  <c r="C86" i="2" s="1"/>
  <c r="C93" i="2" s="1"/>
  <c r="C100" i="2" s="1"/>
  <c r="C107" i="2" s="1"/>
  <c r="C114" i="2" s="1"/>
  <c r="C121" i="2" s="1"/>
  <c r="C128" i="2" s="1"/>
  <c r="C135" i="2" s="1"/>
  <c r="C142" i="2" s="1"/>
  <c r="C149" i="2" s="1"/>
  <c r="C156" i="2" s="1"/>
  <c r="C163" i="2" s="1"/>
  <c r="C170" i="2" s="1"/>
  <c r="C177" i="2" s="1"/>
  <c r="C184" i="2" s="1"/>
  <c r="C191" i="2" s="1"/>
  <c r="C198" i="2" s="1"/>
  <c r="C205" i="2" s="1"/>
  <c r="C212" i="2" s="1"/>
  <c r="C219" i="2" s="1"/>
  <c r="C226" i="2" s="1"/>
  <c r="C233" i="2" s="1"/>
  <c r="C240" i="2" s="1"/>
  <c r="C247" i="2" s="1"/>
  <c r="C254" i="2" s="1"/>
  <c r="C261" i="2" s="1"/>
  <c r="C268" i="2" s="1"/>
  <c r="C275" i="2" s="1"/>
  <c r="C282" i="2" s="1"/>
  <c r="C289" i="2" s="1"/>
  <c r="C296" i="2" s="1"/>
  <c r="C14" i="2"/>
  <c r="C21" i="2" s="1"/>
  <c r="C28" i="2" s="1"/>
  <c r="C35" i="2" s="1"/>
  <c r="C42" i="2" s="1"/>
  <c r="C49" i="2" s="1"/>
  <c r="C56" i="2" s="1"/>
  <c r="C63" i="2" s="1"/>
  <c r="C70" i="2" s="1"/>
  <c r="C77" i="2" s="1"/>
  <c r="C84" i="2" s="1"/>
  <c r="C91" i="2" s="1"/>
  <c r="C98" i="2" s="1"/>
  <c r="C105" i="2" s="1"/>
  <c r="C112" i="2" s="1"/>
  <c r="C119" i="2" s="1"/>
  <c r="C126" i="2" s="1"/>
  <c r="C133" i="2" s="1"/>
  <c r="C140" i="2" s="1"/>
  <c r="C147" i="2" s="1"/>
  <c r="C154" i="2" s="1"/>
  <c r="C161" i="2" s="1"/>
  <c r="C168" i="2" s="1"/>
  <c r="C175" i="2" s="1"/>
  <c r="C182" i="2" s="1"/>
  <c r="C189" i="2" s="1"/>
  <c r="C196" i="2" s="1"/>
  <c r="C203" i="2" s="1"/>
  <c r="C210" i="2" s="1"/>
  <c r="C217" i="2" s="1"/>
  <c r="C224" i="2" s="1"/>
  <c r="C231" i="2" s="1"/>
  <c r="C238" i="2" s="1"/>
  <c r="C245" i="2" s="1"/>
  <c r="C252" i="2" s="1"/>
  <c r="C259" i="2" s="1"/>
  <c r="C266" i="2" s="1"/>
  <c r="C273" i="2" s="1"/>
  <c r="C280" i="2" s="1"/>
  <c r="C287" i="2" s="1"/>
  <c r="C294" i="2" s="1"/>
  <c r="C301" i="2" s="1"/>
  <c r="C13" i="2"/>
  <c r="C20" i="2" s="1"/>
  <c r="C27" i="2" s="1"/>
  <c r="C34" i="2" s="1"/>
  <c r="C41" i="2" s="1"/>
  <c r="C48" i="2" s="1"/>
  <c r="C55" i="2" s="1"/>
  <c r="C62" i="2" s="1"/>
  <c r="C69" i="2" s="1"/>
  <c r="C76" i="2" s="1"/>
  <c r="C83" i="2" s="1"/>
  <c r="C90" i="2" s="1"/>
  <c r="C97" i="2" s="1"/>
  <c r="C104" i="2" s="1"/>
  <c r="C111" i="2" s="1"/>
  <c r="C118" i="2" s="1"/>
  <c r="C125" i="2" s="1"/>
  <c r="C132" i="2" s="1"/>
  <c r="C139" i="2" s="1"/>
  <c r="C146" i="2" s="1"/>
  <c r="C153" i="2" s="1"/>
  <c r="C160" i="2" s="1"/>
  <c r="C167" i="2" s="1"/>
  <c r="C174" i="2" s="1"/>
  <c r="C181" i="2" s="1"/>
  <c r="C188" i="2" s="1"/>
  <c r="C195" i="2" s="1"/>
  <c r="C202" i="2" s="1"/>
  <c r="C209" i="2" s="1"/>
  <c r="C216" i="2" s="1"/>
  <c r="C223" i="2" s="1"/>
  <c r="C230" i="2" s="1"/>
  <c r="C237" i="2" s="1"/>
  <c r="C244" i="2" s="1"/>
  <c r="C251" i="2" s="1"/>
  <c r="C258" i="2" s="1"/>
  <c r="C265" i="2" s="1"/>
  <c r="C272" i="2" s="1"/>
  <c r="C279" i="2" s="1"/>
  <c r="C286" i="2" s="1"/>
  <c r="C293" i="2" s="1"/>
  <c r="C300" i="2" s="1"/>
  <c r="C12" i="2"/>
  <c r="C19" i="2" s="1"/>
  <c r="C26" i="2" s="1"/>
  <c r="C33" i="2" s="1"/>
  <c r="C40" i="2" s="1"/>
  <c r="C47" i="2" s="1"/>
  <c r="C54" i="2" s="1"/>
  <c r="C61" i="2" s="1"/>
  <c r="C68" i="2" s="1"/>
  <c r="C75" i="2" s="1"/>
  <c r="C82" i="2" s="1"/>
  <c r="C89" i="2" s="1"/>
  <c r="C96" i="2" s="1"/>
  <c r="C103" i="2" s="1"/>
  <c r="C110" i="2" s="1"/>
  <c r="C117" i="2" s="1"/>
  <c r="C124" i="2" s="1"/>
  <c r="C131" i="2" s="1"/>
  <c r="C138" i="2" s="1"/>
  <c r="C145" i="2" s="1"/>
  <c r="C152" i="2" s="1"/>
  <c r="C159" i="2" s="1"/>
  <c r="C166" i="2" s="1"/>
  <c r="C173" i="2" s="1"/>
  <c r="C180" i="2" s="1"/>
  <c r="C187" i="2" s="1"/>
  <c r="C194" i="2" s="1"/>
  <c r="C201" i="2" s="1"/>
  <c r="C208" i="2" s="1"/>
  <c r="C215" i="2" s="1"/>
  <c r="C222" i="2" s="1"/>
  <c r="C229" i="2" s="1"/>
  <c r="C236" i="2" s="1"/>
  <c r="C243" i="2" s="1"/>
  <c r="C250" i="2" s="1"/>
  <c r="C257" i="2" s="1"/>
  <c r="C264" i="2" s="1"/>
  <c r="C271" i="2" s="1"/>
  <c r="C278" i="2" s="1"/>
  <c r="C285" i="2" s="1"/>
  <c r="C292" i="2" s="1"/>
  <c r="C299" i="2" s="1"/>
  <c r="C11" i="2"/>
  <c r="C10" i="2"/>
  <c r="C9" i="2"/>
  <c r="C8" i="2"/>
  <c r="C15" i="2" s="1"/>
  <c r="C22" i="2" s="1"/>
  <c r="C29" i="2" s="1"/>
  <c r="C36" i="2" s="1"/>
  <c r="C43" i="2" s="1"/>
  <c r="C50" i="2" s="1"/>
  <c r="C57" i="2" s="1"/>
  <c r="C64" i="2" s="1"/>
  <c r="C71" i="2" s="1"/>
  <c r="C78" i="2" s="1"/>
  <c r="C85" i="2" s="1"/>
  <c r="C92" i="2" s="1"/>
  <c r="C99" i="2" s="1"/>
  <c r="C106" i="2" s="1"/>
  <c r="C113" i="2" s="1"/>
  <c r="C120" i="2" s="1"/>
  <c r="C127" i="2" s="1"/>
  <c r="C134" i="2" s="1"/>
  <c r="C141" i="2" s="1"/>
  <c r="C148" i="2" s="1"/>
  <c r="C155" i="2" s="1"/>
  <c r="C162" i="2" s="1"/>
  <c r="C169" i="2" s="1"/>
  <c r="C176" i="2" s="1"/>
  <c r="C183" i="2" s="1"/>
  <c r="C190" i="2" s="1"/>
  <c r="C197" i="2" s="1"/>
  <c r="C204" i="2" s="1"/>
  <c r="C211" i="2" s="1"/>
  <c r="C218" i="2" s="1"/>
  <c r="C225" i="2" s="1"/>
  <c r="C232" i="2" s="1"/>
  <c r="C239" i="2" s="1"/>
  <c r="C246" i="2" s="1"/>
  <c r="C253" i="2" s="1"/>
  <c r="C260" i="2" s="1"/>
  <c r="C267" i="2" s="1"/>
  <c r="C274" i="2" s="1"/>
  <c r="C281" i="2" s="1"/>
  <c r="C288" i="2" s="1"/>
  <c r="C295" i="2" s="1"/>
  <c r="E11" i="10" l="1"/>
  <c r="F10" i="10"/>
  <c r="W7" i="10"/>
  <c r="E47" i="6"/>
  <c r="E46" i="6"/>
  <c r="E45" i="6"/>
  <c r="E44" i="6"/>
  <c r="E43" i="6"/>
  <c r="E41" i="6"/>
  <c r="E40" i="6"/>
  <c r="E17" i="6"/>
  <c r="E30" i="6"/>
  <c r="E8" i="6"/>
  <c r="E20" i="6"/>
  <c r="E32" i="6"/>
  <c r="E4" i="6"/>
  <c r="E9" i="6"/>
  <c r="E21" i="6"/>
  <c r="E33" i="6"/>
  <c r="E16" i="6"/>
  <c r="E10" i="6"/>
  <c r="E22" i="6"/>
  <c r="E34" i="6"/>
  <c r="E5" i="6"/>
  <c r="E7" i="6"/>
  <c r="E19" i="6"/>
  <c r="E31" i="6"/>
  <c r="E11" i="6"/>
  <c r="E23" i="6"/>
  <c r="E35" i="6"/>
  <c r="E12" i="6"/>
  <c r="E24" i="6"/>
  <c r="E13" i="6"/>
  <c r="E25" i="6"/>
  <c r="E37" i="6"/>
  <c r="E28" i="6"/>
  <c r="E36" i="6"/>
  <c r="E14" i="6"/>
  <c r="E26" i="6"/>
  <c r="E38" i="6"/>
  <c r="E15" i="6"/>
  <c r="E27" i="6"/>
  <c r="E39" i="6"/>
  <c r="D3" i="6"/>
  <c r="F3" i="6" s="1"/>
  <c r="E3" i="6"/>
  <c r="O98" i="1"/>
  <c r="N62" i="1"/>
  <c r="O37" i="1"/>
  <c r="B3" i="2"/>
  <c r="B4" i="2" s="1"/>
  <c r="B5" i="2" s="1"/>
  <c r="B6" i="2" s="1"/>
  <c r="B7" i="2" s="1"/>
  <c r="B8" i="2" s="1"/>
  <c r="B9" i="2" s="1"/>
  <c r="B10" i="2" s="1"/>
  <c r="B11" i="2" s="1"/>
  <c r="B12" i="2" s="1"/>
  <c r="B13" i="2" s="1"/>
  <c r="B14" i="2" s="1"/>
  <c r="B15" i="2" s="1"/>
  <c r="B16" i="2" s="1"/>
  <c r="B17" i="2" s="1"/>
  <c r="B18" i="2" s="1"/>
  <c r="B19" i="2" s="1"/>
  <c r="B20" i="2" s="1"/>
  <c r="B21" i="2" s="1"/>
  <c r="B22" i="2" s="1"/>
  <c r="B23" i="2" s="1"/>
  <c r="B24" i="2" s="1"/>
  <c r="B25" i="2" s="1"/>
  <c r="B26" i="2" s="1"/>
  <c r="B27" i="2" s="1"/>
  <c r="B28" i="2" s="1"/>
  <c r="B29" i="2" s="1"/>
  <c r="B30" i="2" s="1"/>
  <c r="B31" i="2" s="1"/>
  <c r="B32" i="2" s="1"/>
  <c r="B33" i="2" s="1"/>
  <c r="B34" i="2" s="1"/>
  <c r="B35" i="2" s="1"/>
  <c r="B36" i="2" s="1"/>
  <c r="B37" i="2" s="1"/>
  <c r="B38" i="2" s="1"/>
  <c r="B39" i="2" s="1"/>
  <c r="B40" i="2" s="1"/>
  <c r="B41" i="2" s="1"/>
  <c r="B42" i="2" s="1"/>
  <c r="B43" i="2" s="1"/>
  <c r="B44" i="2" s="1"/>
  <c r="B45" i="2" s="1"/>
  <c r="B46" i="2" s="1"/>
  <c r="B47" i="2" s="1"/>
  <c r="B48" i="2" s="1"/>
  <c r="B49" i="2" s="1"/>
  <c r="B50" i="2" s="1"/>
  <c r="B51" i="2" s="1"/>
  <c r="B52" i="2" s="1"/>
  <c r="B53" i="2" s="1"/>
  <c r="B54" i="2" s="1"/>
  <c r="B55" i="2" s="1"/>
  <c r="B56" i="2" s="1"/>
  <c r="B57" i="2" s="1"/>
  <c r="B58" i="2" s="1"/>
  <c r="B59" i="2" s="1"/>
  <c r="B60" i="2" s="1"/>
  <c r="B61" i="2" s="1"/>
  <c r="B62" i="2" s="1"/>
  <c r="B63" i="2" s="1"/>
  <c r="B64" i="2" s="1"/>
  <c r="B65" i="2" s="1"/>
  <c r="B66" i="2" s="1"/>
  <c r="B67" i="2" s="1"/>
  <c r="B68" i="2" s="1"/>
  <c r="B69" i="2" s="1"/>
  <c r="B70" i="2" s="1"/>
  <c r="B71" i="2" s="1"/>
  <c r="B72" i="2" s="1"/>
  <c r="B73" i="2" s="1"/>
  <c r="B74" i="2" s="1"/>
  <c r="B75" i="2" s="1"/>
  <c r="B76" i="2" s="1"/>
  <c r="B77" i="2" s="1"/>
  <c r="B78" i="2" s="1"/>
  <c r="B79" i="2" s="1"/>
  <c r="B80" i="2" s="1"/>
  <c r="B81" i="2" s="1"/>
  <c r="B82" i="2" s="1"/>
  <c r="B83" i="2" s="1"/>
  <c r="B84" i="2" s="1"/>
  <c r="B85" i="2" s="1"/>
  <c r="B86" i="2" s="1"/>
  <c r="B87" i="2" s="1"/>
  <c r="B88" i="2" s="1"/>
  <c r="B89" i="2" s="1"/>
  <c r="B90" i="2" s="1"/>
  <c r="B91" i="2" s="1"/>
  <c r="B92" i="2" s="1"/>
  <c r="B93" i="2" s="1"/>
  <c r="B94" i="2" s="1"/>
  <c r="B95" i="2" s="1"/>
  <c r="B96" i="2" s="1"/>
  <c r="B97" i="2" s="1"/>
  <c r="B98" i="2" s="1"/>
  <c r="B99" i="2" s="1"/>
  <c r="B100" i="2" s="1"/>
  <c r="B101" i="2" s="1"/>
  <c r="B102" i="2" s="1"/>
  <c r="B103" i="2" s="1"/>
  <c r="B104" i="2" s="1"/>
  <c r="B105" i="2" s="1"/>
  <c r="B106" i="2" s="1"/>
  <c r="B107" i="2" s="1"/>
  <c r="B108" i="2" s="1"/>
  <c r="B109" i="2" s="1"/>
  <c r="B110" i="2" s="1"/>
  <c r="B111" i="2" s="1"/>
  <c r="B112" i="2" s="1"/>
  <c r="B113" i="2" s="1"/>
  <c r="B114" i="2" s="1"/>
  <c r="B115" i="2" s="1"/>
  <c r="B116" i="2" s="1"/>
  <c r="B117" i="2" s="1"/>
  <c r="B118" i="2" s="1"/>
  <c r="B119" i="2" s="1"/>
  <c r="B120" i="2" s="1"/>
  <c r="B121" i="2" s="1"/>
  <c r="B122" i="2" s="1"/>
  <c r="B123" i="2" s="1"/>
  <c r="B124" i="2" s="1"/>
  <c r="B125" i="2" s="1"/>
  <c r="B126" i="2" s="1"/>
  <c r="B127" i="2" s="1"/>
  <c r="B128" i="2" s="1"/>
  <c r="B129" i="2" s="1"/>
  <c r="B130" i="2" s="1"/>
  <c r="B131" i="2" s="1"/>
  <c r="B132" i="2" s="1"/>
  <c r="B133" i="2" s="1"/>
  <c r="B134" i="2" s="1"/>
  <c r="B135" i="2" s="1"/>
  <c r="B136" i="2" s="1"/>
  <c r="B137" i="2" s="1"/>
  <c r="B138" i="2" s="1"/>
  <c r="B139" i="2" s="1"/>
  <c r="B140" i="2" s="1"/>
  <c r="B141" i="2" s="1"/>
  <c r="B142" i="2" s="1"/>
  <c r="B143" i="2" s="1"/>
  <c r="B144" i="2" s="1"/>
  <c r="B145" i="2" s="1"/>
  <c r="B146" i="2" s="1"/>
  <c r="B147" i="2" s="1"/>
  <c r="B148" i="2" s="1"/>
  <c r="B149" i="2" s="1"/>
  <c r="B150" i="2" s="1"/>
  <c r="B151" i="2" s="1"/>
  <c r="B152" i="2" s="1"/>
  <c r="B153" i="2" s="1"/>
  <c r="B154" i="2" s="1"/>
  <c r="B155" i="2" s="1"/>
  <c r="B156" i="2" s="1"/>
  <c r="B157" i="2" s="1"/>
  <c r="B158" i="2" s="1"/>
  <c r="B159" i="2" s="1"/>
  <c r="B160" i="2" s="1"/>
  <c r="B161" i="2" s="1"/>
  <c r="B162" i="2" s="1"/>
  <c r="B163" i="2" s="1"/>
  <c r="B164" i="2" s="1"/>
  <c r="B165" i="2" s="1"/>
  <c r="B166" i="2" s="1"/>
  <c r="B167" i="2" s="1"/>
  <c r="B168" i="2" s="1"/>
  <c r="B169" i="2" s="1"/>
  <c r="B170" i="2" s="1"/>
  <c r="B171" i="2" s="1"/>
  <c r="B172" i="2" s="1"/>
  <c r="B173" i="2" s="1"/>
  <c r="B174" i="2" s="1"/>
  <c r="B175" i="2" s="1"/>
  <c r="B176" i="2" s="1"/>
  <c r="B177" i="2" s="1"/>
  <c r="B178" i="2" s="1"/>
  <c r="B179" i="2" s="1"/>
  <c r="B180" i="2" s="1"/>
  <c r="B181" i="2" s="1"/>
  <c r="B182" i="2" s="1"/>
  <c r="B183" i="2" s="1"/>
  <c r="B184" i="2" s="1"/>
  <c r="B185" i="2" s="1"/>
  <c r="B186" i="2" s="1"/>
  <c r="B187" i="2" s="1"/>
  <c r="B188" i="2" s="1"/>
  <c r="B189" i="2" s="1"/>
  <c r="B190" i="2" s="1"/>
  <c r="B191" i="2" s="1"/>
  <c r="B192" i="2" s="1"/>
  <c r="B193" i="2" s="1"/>
  <c r="B194" i="2" s="1"/>
  <c r="B195" i="2" s="1"/>
  <c r="B196" i="2" s="1"/>
  <c r="B197" i="2" s="1"/>
  <c r="B198" i="2" s="1"/>
  <c r="B199" i="2" s="1"/>
  <c r="B200" i="2" s="1"/>
  <c r="B201" i="2" s="1"/>
  <c r="B202" i="2" s="1"/>
  <c r="B203" i="2" s="1"/>
  <c r="B204" i="2" s="1"/>
  <c r="B205" i="2" s="1"/>
  <c r="B206" i="2" s="1"/>
  <c r="B207" i="2" s="1"/>
  <c r="B208" i="2" s="1"/>
  <c r="B209" i="2" s="1"/>
  <c r="B210" i="2" s="1"/>
  <c r="B211" i="2" s="1"/>
  <c r="B212" i="2" s="1"/>
  <c r="B213" i="2" s="1"/>
  <c r="B214" i="2" s="1"/>
  <c r="B215" i="2" s="1"/>
  <c r="B216" i="2" s="1"/>
  <c r="B217" i="2" s="1"/>
  <c r="B218" i="2" s="1"/>
  <c r="B219" i="2" s="1"/>
  <c r="B220" i="2" s="1"/>
  <c r="B221" i="2" s="1"/>
  <c r="B222" i="2" s="1"/>
  <c r="B223" i="2" s="1"/>
  <c r="B224" i="2" s="1"/>
  <c r="B225" i="2" s="1"/>
  <c r="B226" i="2" s="1"/>
  <c r="B227" i="2" s="1"/>
  <c r="B228" i="2" s="1"/>
  <c r="B229" i="2" s="1"/>
  <c r="B230" i="2" s="1"/>
  <c r="B231" i="2" s="1"/>
  <c r="B232" i="2" s="1"/>
  <c r="B233" i="2" s="1"/>
  <c r="B234" i="2" s="1"/>
  <c r="B235" i="2" s="1"/>
  <c r="B236" i="2" s="1"/>
  <c r="B237" i="2" s="1"/>
  <c r="B238" i="2" s="1"/>
  <c r="B239" i="2" s="1"/>
  <c r="B240" i="2" s="1"/>
  <c r="B241" i="2" s="1"/>
  <c r="B242" i="2" s="1"/>
  <c r="B243" i="2" s="1"/>
  <c r="B244" i="2" s="1"/>
  <c r="B245" i="2" s="1"/>
  <c r="B246" i="2" s="1"/>
  <c r="B247" i="2" s="1"/>
  <c r="B248" i="2" s="1"/>
  <c r="B249" i="2" s="1"/>
  <c r="B250" i="2" s="1"/>
  <c r="B251" i="2" s="1"/>
  <c r="B252" i="2" s="1"/>
  <c r="B253" i="2" s="1"/>
  <c r="B254" i="2" s="1"/>
  <c r="B255" i="2" s="1"/>
  <c r="B256" i="2" s="1"/>
  <c r="B257" i="2" s="1"/>
  <c r="B258" i="2" s="1"/>
  <c r="B259" i="2" s="1"/>
  <c r="B260" i="2" s="1"/>
  <c r="B261" i="2" s="1"/>
  <c r="B262" i="2" s="1"/>
  <c r="B263" i="2" s="1"/>
  <c r="B264" i="2" s="1"/>
  <c r="B265" i="2" s="1"/>
  <c r="B266" i="2" s="1"/>
  <c r="B267" i="2" s="1"/>
  <c r="B268" i="2" s="1"/>
  <c r="B269" i="2" s="1"/>
  <c r="B270" i="2" s="1"/>
  <c r="B271" i="2" s="1"/>
  <c r="B272" i="2" s="1"/>
  <c r="B273" i="2" s="1"/>
  <c r="B274" i="2" s="1"/>
  <c r="B275" i="2" s="1"/>
  <c r="B276" i="2" s="1"/>
  <c r="B277" i="2" s="1"/>
  <c r="B278" i="2" s="1"/>
  <c r="B279" i="2" s="1"/>
  <c r="B280" i="2" s="1"/>
  <c r="B281" i="2" s="1"/>
  <c r="B282" i="2" s="1"/>
  <c r="B283" i="2" s="1"/>
  <c r="B284" i="2" s="1"/>
  <c r="B285" i="2" s="1"/>
  <c r="B286" i="2" s="1"/>
  <c r="B287" i="2" s="1"/>
  <c r="B288" i="2" s="1"/>
  <c r="B289" i="2" s="1"/>
  <c r="B290" i="2" s="1"/>
  <c r="B291" i="2" s="1"/>
  <c r="B292" i="2" s="1"/>
  <c r="B293" i="2" s="1"/>
  <c r="B294" i="2" s="1"/>
  <c r="B295" i="2" s="1"/>
  <c r="B296" i="2" s="1"/>
  <c r="B297" i="2" s="1"/>
  <c r="B298" i="2" s="1"/>
  <c r="B299" i="2" s="1"/>
  <c r="B300" i="2" s="1"/>
  <c r="B301" i="2" s="1"/>
  <c r="N59" i="1"/>
  <c r="O34" i="1"/>
  <c r="N10" i="1"/>
  <c r="O57" i="1"/>
  <c r="N105" i="1"/>
  <c r="N33" i="1"/>
  <c r="O80" i="1"/>
  <c r="O8" i="1"/>
  <c r="N56" i="1"/>
  <c r="N79" i="1"/>
  <c r="N31" i="1"/>
  <c r="N7" i="1"/>
  <c r="O54" i="1"/>
  <c r="O6" i="1"/>
  <c r="N102" i="1"/>
  <c r="N6" i="1"/>
  <c r="O77" i="1"/>
  <c r="O5" i="1"/>
  <c r="N77" i="1"/>
  <c r="N53" i="1"/>
  <c r="N5" i="1"/>
  <c r="O100" i="1"/>
  <c r="O4" i="1"/>
  <c r="N76" i="1"/>
  <c r="O111" i="1"/>
  <c r="O39" i="1"/>
  <c r="F11" i="10" l="1"/>
  <c r="G11" i="10" s="1"/>
  <c r="H11" i="10" s="1"/>
  <c r="I11" i="10" s="1"/>
  <c r="J11" i="10" s="1"/>
  <c r="K11" i="10" s="1"/>
  <c r="L11" i="10" s="1"/>
  <c r="M11" i="10" s="1"/>
  <c r="N11" i="10" s="1"/>
  <c r="O11" i="10" s="1"/>
  <c r="P11" i="10" s="1"/>
  <c r="Q11" i="10" s="1"/>
  <c r="R11" i="10" s="1"/>
  <c r="S11" i="10" s="1"/>
  <c r="T11" i="10" s="1"/>
  <c r="U11" i="10" s="1"/>
  <c r="W10" i="10"/>
  <c r="E18" i="6"/>
  <c r="E6" i="6"/>
  <c r="E29" i="6"/>
  <c r="D4" i="6"/>
  <c r="N16" i="1"/>
  <c r="O40" i="1"/>
  <c r="N65" i="1"/>
  <c r="O89" i="1"/>
  <c r="N114" i="1"/>
  <c r="N19" i="1"/>
  <c r="O43" i="1"/>
  <c r="N68" i="1"/>
  <c r="O92" i="1"/>
  <c r="N117" i="1"/>
  <c r="N22" i="1"/>
  <c r="O46" i="1"/>
  <c r="N71" i="1"/>
  <c r="O83" i="1"/>
  <c r="N108" i="1"/>
  <c r="N13" i="1"/>
  <c r="O49" i="1"/>
  <c r="N74" i="1"/>
  <c r="O110" i="1"/>
  <c r="N96" i="1"/>
  <c r="N28" i="1"/>
  <c r="O52" i="1"/>
  <c r="O101" i="1"/>
  <c r="O55" i="1"/>
  <c r="N80" i="1"/>
  <c r="O104" i="1"/>
  <c r="O9" i="1"/>
  <c r="N34" i="1"/>
  <c r="O58" i="1"/>
  <c r="N83" i="1"/>
  <c r="O95" i="1"/>
  <c r="N120" i="1"/>
  <c r="N25" i="1"/>
  <c r="O61" i="1"/>
  <c r="N86" i="1"/>
  <c r="N15" i="1"/>
  <c r="N40" i="1"/>
  <c r="O64" i="1"/>
  <c r="N89" i="1"/>
  <c r="O113" i="1"/>
  <c r="O18" i="1"/>
  <c r="N43" i="1"/>
  <c r="O67" i="1"/>
  <c r="N92" i="1"/>
  <c r="O116" i="1"/>
  <c r="O21" i="1"/>
  <c r="N46" i="1"/>
  <c r="O70" i="1"/>
  <c r="N95" i="1"/>
  <c r="O107" i="1"/>
  <c r="O12" i="1"/>
  <c r="N37" i="1"/>
  <c r="O73" i="1"/>
  <c r="N98" i="1"/>
  <c r="N27" i="1"/>
  <c r="O120" i="1"/>
  <c r="O15" i="1"/>
  <c r="N52" i="1"/>
  <c r="O76" i="1"/>
  <c r="N101" i="1"/>
  <c r="O30" i="1"/>
  <c r="N55" i="1"/>
  <c r="O79" i="1"/>
  <c r="N104" i="1"/>
  <c r="N9" i="1"/>
  <c r="O33" i="1"/>
  <c r="N58" i="1"/>
  <c r="O82" i="1"/>
  <c r="N107" i="1"/>
  <c r="O119" i="1"/>
  <c r="O24" i="1"/>
  <c r="N49" i="1"/>
  <c r="O85" i="1"/>
  <c r="N110" i="1"/>
  <c r="N39" i="1"/>
  <c r="O27" i="1"/>
  <c r="N64" i="1"/>
  <c r="O88" i="1"/>
  <c r="N113" i="1"/>
  <c r="N18" i="1"/>
  <c r="O42" i="1"/>
  <c r="N67" i="1"/>
  <c r="O91" i="1"/>
  <c r="N116" i="1"/>
  <c r="N21" i="1"/>
  <c r="O45" i="1"/>
  <c r="N70" i="1"/>
  <c r="O94" i="1"/>
  <c r="N119" i="1"/>
  <c r="N12" i="1"/>
  <c r="O36" i="1"/>
  <c r="N61" i="1"/>
  <c r="O97" i="1"/>
  <c r="O14" i="1"/>
  <c r="N51" i="1"/>
  <c r="N24" i="1"/>
  <c r="O48" i="1"/>
  <c r="N73" i="1"/>
  <c r="O109" i="1"/>
  <c r="O26" i="1"/>
  <c r="N63" i="1"/>
  <c r="N30" i="1"/>
  <c r="O51" i="1"/>
  <c r="N88" i="1"/>
  <c r="O112" i="1"/>
  <c r="O17" i="1"/>
  <c r="N42" i="1"/>
  <c r="O66" i="1"/>
  <c r="N91" i="1"/>
  <c r="O115" i="1"/>
  <c r="O20" i="1"/>
  <c r="N45" i="1"/>
  <c r="O69" i="1"/>
  <c r="N94" i="1"/>
  <c r="O118" i="1"/>
  <c r="O11" i="1"/>
  <c r="N36" i="1"/>
  <c r="O60" i="1"/>
  <c r="N85" i="1"/>
  <c r="O2" i="1"/>
  <c r="O38" i="1"/>
  <c r="N75" i="1"/>
  <c r="N82" i="1"/>
  <c r="O63" i="1"/>
  <c r="N100" i="1"/>
  <c r="O29" i="1"/>
  <c r="N54" i="1"/>
  <c r="O78" i="1"/>
  <c r="N103" i="1"/>
  <c r="N8" i="1"/>
  <c r="O32" i="1"/>
  <c r="N57" i="1"/>
  <c r="O81" i="1"/>
  <c r="N106" i="1"/>
  <c r="N11" i="1"/>
  <c r="O23" i="1"/>
  <c r="N48" i="1"/>
  <c r="O72" i="1"/>
  <c r="N97" i="1"/>
  <c r="N14" i="1"/>
  <c r="O50" i="1"/>
  <c r="N87" i="1"/>
  <c r="O28" i="1"/>
  <c r="O106" i="1"/>
  <c r="O75" i="1"/>
  <c r="N112" i="1"/>
  <c r="N17" i="1"/>
  <c r="O41" i="1"/>
  <c r="N66" i="1"/>
  <c r="O90" i="1"/>
  <c r="N115" i="1"/>
  <c r="N20" i="1"/>
  <c r="O44" i="1"/>
  <c r="N69" i="1"/>
  <c r="O93" i="1"/>
  <c r="N118" i="1"/>
  <c r="N23" i="1"/>
  <c r="O35" i="1"/>
  <c r="N60" i="1"/>
  <c r="O84" i="1"/>
  <c r="N109" i="1"/>
  <c r="N26" i="1"/>
  <c r="O62" i="1"/>
  <c r="N99" i="1"/>
  <c r="O71" i="1"/>
  <c r="O103" i="1"/>
  <c r="O87" i="1"/>
  <c r="N29" i="1"/>
  <c r="O53" i="1"/>
  <c r="N78" i="1"/>
  <c r="O102" i="1"/>
  <c r="O7" i="1"/>
  <c r="N32" i="1"/>
  <c r="O56" i="1"/>
  <c r="N81" i="1"/>
  <c r="O105" i="1"/>
  <c r="O10" i="1"/>
  <c r="N35" i="1"/>
  <c r="O47" i="1"/>
  <c r="N72" i="1"/>
  <c r="O96" i="1"/>
  <c r="O13" i="1"/>
  <c r="N38" i="1"/>
  <c r="O74" i="1"/>
  <c r="N111" i="1"/>
  <c r="O31" i="1"/>
  <c r="O99" i="1"/>
  <c r="O16" i="1"/>
  <c r="N41" i="1"/>
  <c r="O65" i="1"/>
  <c r="N90" i="1"/>
  <c r="O114" i="1"/>
  <c r="O19" i="1"/>
  <c r="N44" i="1"/>
  <c r="O68" i="1"/>
  <c r="N93" i="1"/>
  <c r="O117" i="1"/>
  <c r="O22" i="1"/>
  <c r="N47" i="1"/>
  <c r="O59" i="1"/>
  <c r="N84" i="1"/>
  <c r="O108" i="1"/>
  <c r="O25" i="1"/>
  <c r="N50" i="1"/>
  <c r="O86" i="1"/>
  <c r="O3" i="1"/>
  <c r="F4" i="6" l="1"/>
  <c r="D5" i="6"/>
  <c r="F5" i="6" l="1"/>
  <c r="D6" i="6"/>
  <c r="F6" i="6" l="1"/>
  <c r="D7" i="6"/>
  <c r="F7" i="6" l="1"/>
  <c r="D8" i="6"/>
  <c r="F8" i="6" l="1"/>
  <c r="D9" i="6"/>
  <c r="F9" i="6" l="1"/>
  <c r="D10" i="6"/>
  <c r="F10" i="6" l="1"/>
  <c r="D11" i="6"/>
  <c r="F11" i="6" l="1"/>
  <c r="D12" i="6"/>
  <c r="F12" i="6" l="1"/>
  <c r="D13" i="6"/>
  <c r="F13" i="6" l="1"/>
  <c r="D14" i="6"/>
  <c r="F14" i="6" l="1"/>
  <c r="D15" i="6"/>
  <c r="F15" i="6" l="1"/>
  <c r="D16" i="6"/>
  <c r="F16" i="6" l="1"/>
  <c r="D17" i="6"/>
  <c r="F17" i="6" l="1"/>
  <c r="D18" i="6"/>
  <c r="F18" i="6" l="1"/>
  <c r="D19" i="6"/>
  <c r="F19" i="6" l="1"/>
  <c r="D20" i="6"/>
  <c r="F20" i="6" l="1"/>
  <c r="D21" i="6"/>
  <c r="F21" i="6" l="1"/>
  <c r="D22" i="6"/>
  <c r="F22" i="6" l="1"/>
  <c r="D23" i="6"/>
  <c r="F23" i="6" l="1"/>
  <c r="D24" i="6"/>
  <c r="F24" i="6" l="1"/>
  <c r="D25" i="6"/>
  <c r="F25" i="6" l="1"/>
  <c r="D26" i="6"/>
  <c r="F26" i="6" l="1"/>
  <c r="D27" i="6"/>
  <c r="F27" i="6" s="1"/>
  <c r="D28" i="6" s="1"/>
  <c r="F28" i="6" s="1"/>
  <c r="D29" i="6" s="1"/>
  <c r="F29" i="6" s="1"/>
  <c r="D30" i="6" s="1"/>
  <c r="F30" i="6" s="1"/>
  <c r="D31" i="6" s="1"/>
  <c r="F31" i="6" s="1"/>
  <c r="D32" i="6" s="1"/>
  <c r="F32" i="6" s="1"/>
  <c r="D33" i="6" s="1"/>
  <c r="F33" i="6" s="1"/>
  <c r="D34" i="6" s="1"/>
  <c r="F34" i="6" s="1"/>
  <c r="D35" i="6" s="1"/>
  <c r="F35" i="6" s="1"/>
  <c r="D36" i="6" s="1"/>
  <c r="F36" i="6" s="1"/>
  <c r="D37" i="6" s="1"/>
  <c r="F37" i="6" s="1"/>
  <c r="D38" i="6" s="1"/>
  <c r="F38" i="6" s="1"/>
  <c r="D39" i="6" s="1"/>
  <c r="F39" i="6" s="1"/>
  <c r="D40" i="6" s="1"/>
  <c r="F40" i="6" s="1"/>
  <c r="D41" i="6" s="1"/>
  <c r="F41" i="6" s="1"/>
  <c r="D42" i="6" s="1"/>
  <c r="F42" i="6" s="1"/>
  <c r="D43" i="6" s="1"/>
  <c r="F43" i="6" s="1"/>
  <c r="D44" i="6" s="1"/>
  <c r="F44" i="6" s="1"/>
  <c r="D45" i="6" s="1"/>
  <c r="F45" i="6" s="1"/>
  <c r="D46" i="6" s="1"/>
  <c r="F46" i="6" s="1"/>
  <c r="D47" i="6" s="1"/>
  <c r="F47" i="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Natacha Sauer</author>
  </authors>
  <commentList>
    <comment ref="P52" authorId="0" shapeId="0" xr:uid="{8069D0E1-0165-45FD-BC21-9C96CBDA0CE2}">
      <text>
        <r>
          <rPr>
            <b/>
            <sz val="9"/>
            <color indexed="81"/>
            <rFont val="Segoe UI"/>
            <family val="2"/>
          </rPr>
          <t>Natacha Sauer:</t>
        </r>
        <r>
          <rPr>
            <sz val="9"/>
            <color indexed="81"/>
            <rFont val="Segoe UI"/>
            <family val="2"/>
          </rPr>
          <t xml:space="preserve">
ARREDONDAR O VALOR</t>
        </r>
      </text>
    </comment>
  </commentList>
</comments>
</file>

<file path=xl/sharedStrings.xml><?xml version="1.0" encoding="utf-8"?>
<sst xmlns="http://schemas.openxmlformats.org/spreadsheetml/2006/main" count="1064" uniqueCount="289">
  <si>
    <t>Código</t>
  </si>
  <si>
    <t>Nome</t>
  </si>
  <si>
    <t>Macro Etapa</t>
  </si>
  <si>
    <t>Rede</t>
  </si>
  <si>
    <t>Duração</t>
  </si>
  <si>
    <t>Planej. Inicial</t>
  </si>
  <si>
    <t>Planej. Final</t>
  </si>
  <si>
    <t>Início</t>
  </si>
  <si>
    <t>Fim</t>
  </si>
  <si>
    <t>ESTRUTURA/ACABAMENTO</t>
  </si>
  <si>
    <t>207.50 dias</t>
  </si>
  <si>
    <t xml:space="preserve"> </t>
  </si>
  <si>
    <t>1.1</t>
  </si>
  <si>
    <t>FUND</t>
  </si>
  <si>
    <t>30.00 dias</t>
  </si>
  <si>
    <t>1.1.0.1</t>
  </si>
  <si>
    <t>Locação e Gabarito</t>
  </si>
  <si>
    <t>FUNDAÇÃO</t>
  </si>
  <si>
    <t>5.00 dias</t>
  </si>
  <si>
    <t>1.1.0.2</t>
  </si>
  <si>
    <t>Estacas</t>
  </si>
  <si>
    <t>10.00 dias</t>
  </si>
  <si>
    <t>1.1.0.3</t>
  </si>
  <si>
    <t>Vigas Baldrames</t>
  </si>
  <si>
    <t>1.1.0.4</t>
  </si>
  <si>
    <t>Instalações Enterradas</t>
  </si>
  <si>
    <t>1.1.0.5</t>
  </si>
  <si>
    <t>Contrapiso</t>
  </si>
  <si>
    <t>1.2</t>
  </si>
  <si>
    <t>PAV1</t>
  </si>
  <si>
    <t>162.50 dias</t>
  </si>
  <si>
    <t>1.2.5.3</t>
  </si>
  <si>
    <t>Alvenaria Estrutural</t>
  </si>
  <si>
    <t>TIPO</t>
  </si>
  <si>
    <t>1.2.5.4</t>
  </si>
  <si>
    <t>Estrutura Moldado in Loco</t>
  </si>
  <si>
    <t>GERAL</t>
  </si>
  <si>
    <t>1.2.5.5</t>
  </si>
  <si>
    <t>Instalações Hidrossanitárias</t>
  </si>
  <si>
    <t>1.2.5.6</t>
  </si>
  <si>
    <t>Reboco Interno</t>
  </si>
  <si>
    <t>1.2.5.7</t>
  </si>
  <si>
    <t xml:space="preserve">Shaft </t>
  </si>
  <si>
    <t>2.50 dias</t>
  </si>
  <si>
    <t>1.2.5.8</t>
  </si>
  <si>
    <t>Impermeabilização</t>
  </si>
  <si>
    <t>1.2.5.9</t>
  </si>
  <si>
    <t>Cerâmica</t>
  </si>
  <si>
    <t>1.2.5.10</t>
  </si>
  <si>
    <t>Gesso Liso</t>
  </si>
  <si>
    <t>1.2.5.11</t>
  </si>
  <si>
    <t xml:space="preserve">Esquadria </t>
  </si>
  <si>
    <t>1.2.5.12</t>
  </si>
  <si>
    <t>Fiação</t>
  </si>
  <si>
    <t>1.2.5.13</t>
  </si>
  <si>
    <t>Forro</t>
  </si>
  <si>
    <t>1.2.5.14</t>
  </si>
  <si>
    <t>Disjuntores e CD</t>
  </si>
  <si>
    <t>1.2.5.17</t>
  </si>
  <si>
    <t>Rev. da Circulação</t>
  </si>
  <si>
    <t>1.2.5.16</t>
  </si>
  <si>
    <t>Pintura Interna - 1ªdmão</t>
  </si>
  <si>
    <t>1.2.5.18</t>
  </si>
  <si>
    <t>Louças</t>
  </si>
  <si>
    <t>1.2.5.19</t>
  </si>
  <si>
    <t>Portas de Madeira</t>
  </si>
  <si>
    <t>1.2.5.15</t>
  </si>
  <si>
    <t>Piso Laminado + Rodapé</t>
  </si>
  <si>
    <t>1.2.5.20</t>
  </si>
  <si>
    <t>Metais</t>
  </si>
  <si>
    <t>1.2.5.21</t>
  </si>
  <si>
    <t>Acabamentos Elétricos</t>
  </si>
  <si>
    <t>1.2.5.22</t>
  </si>
  <si>
    <t>Pintura Final</t>
  </si>
  <si>
    <t>1.2.5.23</t>
  </si>
  <si>
    <t>Complementação e Limpeza</t>
  </si>
  <si>
    <t>1.3</t>
  </si>
  <si>
    <t>PAV2</t>
  </si>
  <si>
    <t>157.50 dias</t>
  </si>
  <si>
    <t>1.3.5.3</t>
  </si>
  <si>
    <t>1.3.5.4</t>
  </si>
  <si>
    <t>1.3.5.5</t>
  </si>
  <si>
    <t>1.3.5.6</t>
  </si>
  <si>
    <t>1.3.5.7</t>
  </si>
  <si>
    <t>1.3.5.8</t>
  </si>
  <si>
    <t>1.3.5.9</t>
  </si>
  <si>
    <t>1.3.5.10</t>
  </si>
  <si>
    <t>1.3.5.11</t>
  </si>
  <si>
    <t>1.3.5.12</t>
  </si>
  <si>
    <t>1.3.5.13</t>
  </si>
  <si>
    <t>1.3.5.14</t>
  </si>
  <si>
    <t>1.3.5.17</t>
  </si>
  <si>
    <t>1.3.5.16</t>
  </si>
  <si>
    <t>1.3.5.18</t>
  </si>
  <si>
    <t>1.3.5.19</t>
  </si>
  <si>
    <t>1.3.5.15</t>
  </si>
  <si>
    <t>1.3.5.20</t>
  </si>
  <si>
    <t>1.3.5.21</t>
  </si>
  <si>
    <t>1.3.5.22</t>
  </si>
  <si>
    <t>1.3.5.23</t>
  </si>
  <si>
    <t>1.4</t>
  </si>
  <si>
    <t>PAV3</t>
  </si>
  <si>
    <t>152.50 dias</t>
  </si>
  <si>
    <t>1.4.5.3</t>
  </si>
  <si>
    <t>1.4.5.4</t>
  </si>
  <si>
    <t>1.4.5.5</t>
  </si>
  <si>
    <t>1.4.5.6</t>
  </si>
  <si>
    <t>1.4.5.7</t>
  </si>
  <si>
    <t>1.4.5.8</t>
  </si>
  <si>
    <t>1.4.5.9</t>
  </si>
  <si>
    <t>1.4.5.10</t>
  </si>
  <si>
    <t>1.4.5.11</t>
  </si>
  <si>
    <t>1.4.5.12</t>
  </si>
  <si>
    <t>1.4.5.13</t>
  </si>
  <si>
    <t>1.4.5.14</t>
  </si>
  <si>
    <t>1.4.5.17</t>
  </si>
  <si>
    <t>1.4.5.16</t>
  </si>
  <si>
    <t>1.4.5.18</t>
  </si>
  <si>
    <t>1.4.5.19</t>
  </si>
  <si>
    <t>1.4.5.15</t>
  </si>
  <si>
    <t>1.4.5.20</t>
  </si>
  <si>
    <t>1.4.5.21</t>
  </si>
  <si>
    <t>1.4.5.22</t>
  </si>
  <si>
    <t>1.4.5.23</t>
  </si>
  <si>
    <t>1.5</t>
  </si>
  <si>
    <t>PAV4</t>
  </si>
  <si>
    <t>147.50 dias</t>
  </si>
  <si>
    <t>1.5.5.3</t>
  </si>
  <si>
    <t>1.5.5.4</t>
  </si>
  <si>
    <t>1.5.5.5</t>
  </si>
  <si>
    <t>1.5.5.6</t>
  </si>
  <si>
    <t>1.5.5.7</t>
  </si>
  <si>
    <t>1.5.5.8</t>
  </si>
  <si>
    <t>1.5.5.9</t>
  </si>
  <si>
    <t>1.5.5.10</t>
  </si>
  <si>
    <t>1.5.5.11</t>
  </si>
  <si>
    <t>1.5.5.12</t>
  </si>
  <si>
    <t>1.5.5.13</t>
  </si>
  <si>
    <t>1.5.5.14</t>
  </si>
  <si>
    <t>1.5.5.17</t>
  </si>
  <si>
    <t>1.5.5.16</t>
  </si>
  <si>
    <t>1.5.5.18</t>
  </si>
  <si>
    <t>1.5.5.19</t>
  </si>
  <si>
    <t>1.5.5.15</t>
  </si>
  <si>
    <t>1.5.5.20</t>
  </si>
  <si>
    <t>1.5.5.21</t>
  </si>
  <si>
    <t>1.5.5.22</t>
  </si>
  <si>
    <t>1.5.5.23</t>
  </si>
  <si>
    <t>1.6</t>
  </si>
  <si>
    <t>COB</t>
  </si>
  <si>
    <t>40.00 dias</t>
  </si>
  <si>
    <t>1.6.6.1</t>
  </si>
  <si>
    <t>COBERTURA</t>
  </si>
  <si>
    <t>1.6.6.2</t>
  </si>
  <si>
    <t>1.6.6.4</t>
  </si>
  <si>
    <t>Telhado</t>
  </si>
  <si>
    <t>1.6.6.5</t>
  </si>
  <si>
    <t>Algerosas + Rufos</t>
  </si>
  <si>
    <t>FACHADA</t>
  </si>
  <si>
    <t>93.00 dias</t>
  </si>
  <si>
    <t>2.1</t>
  </si>
  <si>
    <t>PANO1</t>
  </si>
  <si>
    <t>68.00 dias</t>
  </si>
  <si>
    <t>2.1.7.1</t>
  </si>
  <si>
    <t>Reboco Externo</t>
  </si>
  <si>
    <t>2.1.7.2</t>
  </si>
  <si>
    <t xml:space="preserve">Pintura Externa </t>
  </si>
  <si>
    <t>2.2</t>
  </si>
  <si>
    <t>PANO2</t>
  </si>
  <si>
    <t>2.2.7.1</t>
  </si>
  <si>
    <t>2.2.7.2</t>
  </si>
  <si>
    <t>2.3</t>
  </si>
  <si>
    <t>PANO3</t>
  </si>
  <si>
    <t>2.3.7.1</t>
  </si>
  <si>
    <t>2.3.7.2</t>
  </si>
  <si>
    <t>2.4</t>
  </si>
  <si>
    <t>PANO4</t>
  </si>
  <si>
    <t>2.4.7.1</t>
  </si>
  <si>
    <t>2.4.7.2</t>
  </si>
  <si>
    <t>2.5</t>
  </si>
  <si>
    <t>PANO5</t>
  </si>
  <si>
    <t>2.5.7.1</t>
  </si>
  <si>
    <t>2.5.7.2</t>
  </si>
  <si>
    <t>2.6</t>
  </si>
  <si>
    <t>PANO6</t>
  </si>
  <si>
    <t>2.6.7.1</t>
  </si>
  <si>
    <t>2.6.7.2</t>
  </si>
  <si>
    <t>QTDE</t>
  </si>
  <si>
    <t>R$ UNITARIO</t>
  </si>
  <si>
    <t>TOTAL</t>
  </si>
  <si>
    <t>Segunda</t>
  </si>
  <si>
    <t xml:space="preserve">Terca </t>
  </si>
  <si>
    <t>Quarta</t>
  </si>
  <si>
    <t>Quinta</t>
  </si>
  <si>
    <t>Sexta</t>
  </si>
  <si>
    <t xml:space="preserve">Sabado </t>
  </si>
  <si>
    <t>Domingo</t>
  </si>
  <si>
    <t>m²</t>
  </si>
  <si>
    <t>m³</t>
  </si>
  <si>
    <t>torre</t>
  </si>
  <si>
    <t>pvto</t>
  </si>
  <si>
    <t>und</t>
  </si>
  <si>
    <t>apto</t>
  </si>
  <si>
    <t>m</t>
  </si>
  <si>
    <t>UND</t>
  </si>
  <si>
    <t>Total Geral</t>
  </si>
  <si>
    <t>SEM.INICIO</t>
  </si>
  <si>
    <t>SEM.FM</t>
  </si>
  <si>
    <t>Rótulos de Linha</t>
  </si>
  <si>
    <t>Soma de TOTAL</t>
  </si>
  <si>
    <t>(Vários itens)</t>
  </si>
  <si>
    <t>Data de Status</t>
  </si>
  <si>
    <t>PLANEJADO</t>
  </si>
  <si>
    <t>EXECUTADO</t>
  </si>
  <si>
    <t>PREVISÃO</t>
  </si>
  <si>
    <t xml:space="preserve">SEMANA </t>
  </si>
  <si>
    <t>R$ semana</t>
  </si>
  <si>
    <t>R$ acumulado</t>
  </si>
  <si>
    <t>% semana</t>
  </si>
  <si>
    <t>% acumulado</t>
  </si>
  <si>
    <t>% MATERIAL</t>
  </si>
  <si>
    <t>% MÃO DE OBRA</t>
  </si>
  <si>
    <t>Soma de R$ total</t>
  </si>
  <si>
    <t>Rótulos de Coluna</t>
  </si>
  <si>
    <t>mão de obra</t>
  </si>
  <si>
    <t>material</t>
  </si>
  <si>
    <t>ALVENARIA ESTRUTURAL</t>
  </si>
  <si>
    <t>COMPLEMENTAçãO E LIMPEZA</t>
  </si>
  <si>
    <t>DISJUNTORES E CD</t>
  </si>
  <si>
    <t>ESTACAS</t>
  </si>
  <si>
    <t>ESTRUTURA MOLDADO IN LOCO</t>
  </si>
  <si>
    <t>FIAçãO</t>
  </si>
  <si>
    <t>FORRO</t>
  </si>
  <si>
    <t>GESSO LISO</t>
  </si>
  <si>
    <t>INSTALAçõES ENTERRADAS</t>
  </si>
  <si>
    <t>INSTALAçõES HIDROSSANITáRIAS</t>
  </si>
  <si>
    <t>LOCAÇÃO E GABARITO</t>
  </si>
  <si>
    <t>LOUçAS</t>
  </si>
  <si>
    <t>PINTURA FINAL</t>
  </si>
  <si>
    <t>PINTURA INTERNA - 1ªDMãO</t>
  </si>
  <si>
    <t>PORTAS DE MADEIRA</t>
  </si>
  <si>
    <t>REBOCO EXTERNO</t>
  </si>
  <si>
    <t>REBOCO INTERNO</t>
  </si>
  <si>
    <t xml:space="preserve">SHAFT </t>
  </si>
  <si>
    <t>VIGAS BALDRAMES</t>
  </si>
  <si>
    <t>CONTRAPISO</t>
  </si>
  <si>
    <t>R$ MO</t>
  </si>
  <si>
    <t>R$ MAT</t>
  </si>
  <si>
    <t>MAT -15 DIAS</t>
  </si>
  <si>
    <t>MO + 15 DIAS</t>
  </si>
  <si>
    <t>2021</t>
  </si>
  <si>
    <t>nov</t>
  </si>
  <si>
    <t>dez</t>
  </si>
  <si>
    <t>2022</t>
  </si>
  <si>
    <t>jan</t>
  </si>
  <si>
    <t>fev</t>
  </si>
  <si>
    <t>mar</t>
  </si>
  <si>
    <t>abr</t>
  </si>
  <si>
    <t>mai</t>
  </si>
  <si>
    <t>jun</t>
  </si>
  <si>
    <t>jul</t>
  </si>
  <si>
    <t>ago</t>
  </si>
  <si>
    <t>Soma de R$ MAT</t>
  </si>
  <si>
    <t>set</t>
  </si>
  <si>
    <t>Soma de R$ MO</t>
  </si>
  <si>
    <t>MÊS</t>
  </si>
  <si>
    <t>MATERIAL</t>
  </si>
  <si>
    <t>MÃO DE OBRA</t>
  </si>
  <si>
    <t>EDIFICAÇÃO</t>
  </si>
  <si>
    <t>FLUXO DE CAIXA - EMPREENDIMENTO NATBIM</t>
  </si>
  <si>
    <t>Data de Referência:</t>
  </si>
  <si>
    <t>ENTRADA (+)</t>
  </si>
  <si>
    <t>SAÍDA (-)</t>
  </si>
  <si>
    <t>SALDO OPERACIONAL</t>
  </si>
  <si>
    <t>SALDO FINAL</t>
  </si>
  <si>
    <t>ENTRADA</t>
  </si>
  <si>
    <t>Nº APTOS</t>
  </si>
  <si>
    <t>PREÇO MÉDIO 
DE VENDA</t>
  </si>
  <si>
    <t>SAÍDA</t>
  </si>
  <si>
    <t>DESPESAS</t>
  </si>
  <si>
    <t>FIXO (INÍCIO)</t>
  </si>
  <si>
    <t>FIXO (TÉRMINO)</t>
  </si>
  <si>
    <t>TEMPO - PRAZO TOTAL</t>
  </si>
  <si>
    <t>VENDAS</t>
  </si>
  <si>
    <t>CUSTO</t>
  </si>
  <si>
    <t>QUANTIDADES (BIM) - CURVA S</t>
  </si>
  <si>
    <t>TEMPO - PRAZO PROCESSO</t>
  </si>
  <si>
    <t>COLAR NA ABA_FLUXO DE CAIXA</t>
  </si>
  <si>
    <t>NA LINHA 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</si>
</sst>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dd/mm/yy;@"/>
    <numFmt numFmtId="165" formatCode="_-* #,##0_-;\-* #,##0_-;_-* &quot;-&quot;??_-;_-@_-"/>
    <numFmt numFmtId="166" formatCode="0.0%"/>
    <numFmt numFmtId="167" formatCode="[$-416]mmm\-yy;@"/>
    <numFmt numFmtId="168" formatCode="[$-F800]dddd\,\ mmmm\ dd\,\ yyyy"/>
    <numFmt numFmtId="169" formatCode="_-&quot;R$&quot;\ * #,##0_-;\-&quot;R$&quot;\ * #,##0_-;_-&quot;R$&quot;\ * &quot;-&quot;??_-;_-@_-"/>
    <numFmt numFmtId="170" formatCode="_-[$R$-416]\ * #,##0.00_-;\-[$R$-416]\ * #,##0.00_-;_-[$R$-416]\ * &quot;-&quot;??_-;_-@_-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Aral"/>
    </font>
    <font>
      <b/>
      <sz val="10"/>
      <color theme="1"/>
      <name val="Aral"/>
    </font>
    <font>
      <b/>
      <sz val="10"/>
      <color theme="0"/>
      <name val="Aral"/>
    </font>
    <font>
      <b/>
      <sz val="10"/>
      <name val="Aral"/>
    </font>
    <font>
      <b/>
      <sz val="12"/>
      <color theme="0"/>
      <name val="Aral"/>
    </font>
    <font>
      <sz val="9"/>
      <color indexed="81"/>
      <name val="Segoe UI"/>
      <family val="2"/>
    </font>
    <font>
      <b/>
      <sz val="9"/>
      <color indexed="81"/>
      <name val="Segoe UI"/>
      <family val="2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ashed">
        <color theme="0" tint="-0.499984740745262"/>
      </left>
      <right/>
      <top style="dashed">
        <color theme="0" tint="-0.499984740745262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theme="0" tint="-0.499984740745262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ashed">
        <color theme="0" tint="-0.499984740745262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theme="0" tint="-0.499984740745262"/>
      </right>
      <top style="thin">
        <color indexed="64"/>
      </top>
      <bottom style="thin">
        <color indexed="64"/>
      </bottom>
      <diagonal/>
    </border>
    <border>
      <left style="dashed">
        <color theme="0" tint="-0.49998474074526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theme="0" tint="-0.499984740745262"/>
      </bottom>
      <diagonal/>
    </border>
    <border>
      <left style="thin">
        <color indexed="64"/>
      </left>
      <right style="dashed">
        <color theme="0" tint="-0.499984740745262"/>
      </right>
      <top/>
      <bottom style="dashed">
        <color theme="0" tint="-0.499984740745262"/>
      </bottom>
      <diagonal/>
    </border>
    <border>
      <left/>
      <right/>
      <top/>
      <bottom style="dashed">
        <color theme="0" tint="-0.499984740745262"/>
      </bottom>
      <diagonal/>
    </border>
    <border>
      <left style="dashed">
        <color theme="0" tint="-0.499984740745262"/>
      </left>
      <right style="thin">
        <color indexed="64"/>
      </right>
      <top/>
      <bottom style="dashed">
        <color theme="0" tint="-0.499984740745262"/>
      </bottom>
      <diagonal/>
    </border>
    <border>
      <left style="thin">
        <color indexed="64"/>
      </left>
      <right style="thin">
        <color indexed="64"/>
      </right>
      <top style="dashed">
        <color theme="0" tint="-0.499984740745262"/>
      </top>
      <bottom style="dashed">
        <color theme="0" tint="-0.499984740745262"/>
      </bottom>
      <diagonal/>
    </border>
    <border>
      <left style="thin">
        <color indexed="64"/>
      </left>
      <right style="dashed">
        <color theme="0" tint="-0.499984740745262"/>
      </right>
      <top style="dashed">
        <color theme="0" tint="-0.499984740745262"/>
      </top>
      <bottom style="dashed">
        <color theme="0" tint="-0.499984740745262"/>
      </bottom>
      <diagonal/>
    </border>
    <border>
      <left/>
      <right/>
      <top style="dashed">
        <color theme="0" tint="-0.499984740745262"/>
      </top>
      <bottom style="dashed">
        <color theme="0" tint="-0.499984740745262"/>
      </bottom>
      <diagonal/>
    </border>
    <border>
      <left style="dashed">
        <color theme="0" tint="-0.499984740745262"/>
      </left>
      <right style="thin">
        <color indexed="64"/>
      </right>
      <top style="dashed">
        <color theme="0" tint="-0.499984740745262"/>
      </top>
      <bottom style="dashed">
        <color theme="0" tint="-0.49998474074526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theme="0" tint="-4.9989318521683403E-2"/>
      </left>
      <right style="medium">
        <color theme="0" tint="-4.9989318521683403E-2"/>
      </right>
      <top style="medium">
        <color theme="0" tint="-4.9989318521683403E-2"/>
      </top>
      <bottom style="medium">
        <color theme="0" tint="-4.9989318521683403E-2"/>
      </bottom>
      <diagonal/>
    </border>
  </borders>
  <cellStyleXfs count="4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9" fontId="1" fillId="0" borderId="0" applyFont="0" applyFill="0" applyBorder="0" applyAlignment="0" applyProtection="0"/>
  </cellStyleXfs>
  <cellXfs count="113">
    <xf numFmtId="0" fontId="0" fillId="0" borderId="0" xfId="0"/>
    <xf numFmtId="0" fontId="16" fillId="0" borderId="0" xfId="0" applyFont="1" applyAlignment="1">
      <alignment horizontal="center"/>
    </xf>
    <xf numFmtId="164" fontId="0" fillId="33" borderId="0" xfId="0" applyNumberFormat="1" applyFill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44" fontId="0" fillId="0" borderId="0" xfId="2" applyFont="1"/>
    <xf numFmtId="44" fontId="16" fillId="0" borderId="0" xfId="2" applyFont="1" applyAlignment="1">
      <alignment horizontal="center"/>
    </xf>
    <xf numFmtId="44" fontId="0" fillId="0" borderId="0" xfId="2" applyFont="1" applyAlignment="1">
      <alignment horizontal="center"/>
    </xf>
    <xf numFmtId="43" fontId="16" fillId="0" borderId="0" xfId="1" applyFont="1" applyAlignment="1">
      <alignment horizontal="center"/>
    </xf>
    <xf numFmtId="43" fontId="0" fillId="0" borderId="0" xfId="1" applyFont="1" applyAlignment="1">
      <alignment horizontal="center"/>
    </xf>
    <xf numFmtId="44" fontId="0" fillId="0" borderId="0" xfId="0" applyNumberFormat="1" applyAlignment="1">
      <alignment horizontal="center"/>
    </xf>
    <xf numFmtId="14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0" fillId="0" borderId="10" xfId="0" applyBorder="1" applyAlignment="1">
      <alignment horizontal="center"/>
    </xf>
    <xf numFmtId="0" fontId="0" fillId="0" borderId="17" xfId="0" applyBorder="1" applyAlignment="1">
      <alignment horizontal="center"/>
    </xf>
    <xf numFmtId="0" fontId="16" fillId="33" borderId="18" xfId="0" applyFont="1" applyFill="1" applyBorder="1" applyAlignment="1">
      <alignment horizontal="center"/>
    </xf>
    <xf numFmtId="10" fontId="16" fillId="33" borderId="12" xfId="0" applyNumberFormat="1" applyFont="1" applyFill="1" applyBorder="1" applyAlignment="1">
      <alignment horizontal="center"/>
    </xf>
    <xf numFmtId="0" fontId="16" fillId="33" borderId="19" xfId="0" applyFont="1" applyFill="1" applyBorder="1" applyAlignment="1">
      <alignment horizontal="center"/>
    </xf>
    <xf numFmtId="0" fontId="16" fillId="34" borderId="18" xfId="0" applyFont="1" applyFill="1" applyBorder="1" applyAlignment="1">
      <alignment horizontal="center"/>
    </xf>
    <xf numFmtId="0" fontId="16" fillId="34" borderId="12" xfId="0" applyFont="1" applyFill="1" applyBorder="1" applyAlignment="1">
      <alignment horizontal="center"/>
    </xf>
    <xf numFmtId="0" fontId="16" fillId="34" borderId="19" xfId="0" applyFont="1" applyFill="1" applyBorder="1" applyAlignment="1">
      <alignment horizontal="center"/>
    </xf>
    <xf numFmtId="0" fontId="16" fillId="35" borderId="18" xfId="0" applyFont="1" applyFill="1" applyBorder="1" applyAlignment="1">
      <alignment horizontal="center"/>
    </xf>
    <xf numFmtId="0" fontId="16" fillId="35" borderId="12" xfId="0" applyFont="1" applyFill="1" applyBorder="1" applyAlignment="1">
      <alignment horizontal="center"/>
    </xf>
    <xf numFmtId="0" fontId="16" fillId="35" borderId="19" xfId="0" applyFont="1" applyFill="1" applyBorder="1" applyAlignment="1">
      <alignment horizontal="center"/>
    </xf>
    <xf numFmtId="0" fontId="0" fillId="0" borderId="20" xfId="0" applyBorder="1" applyAlignment="1">
      <alignment horizontal="center"/>
    </xf>
    <xf numFmtId="165" fontId="0" fillId="0" borderId="21" xfId="1" applyNumberFormat="1" applyFont="1" applyBorder="1" applyAlignment="1">
      <alignment horizontal="center"/>
    </xf>
    <xf numFmtId="10" fontId="0" fillId="0" borderId="22" xfId="44" applyNumberFormat="1" applyFont="1" applyBorder="1" applyAlignment="1">
      <alignment horizontal="center"/>
    </xf>
    <xf numFmtId="166" fontId="0" fillId="0" borderId="23" xfId="44" applyNumberFormat="1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9" fontId="0" fillId="0" borderId="23" xfId="44" applyFont="1" applyBorder="1" applyAlignment="1">
      <alignment horizontal="center"/>
    </xf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24" xfId="0" applyBorder="1" applyAlignment="1">
      <alignment horizontal="center"/>
    </xf>
    <xf numFmtId="165" fontId="0" fillId="0" borderId="25" xfId="1" applyNumberFormat="1" applyFont="1" applyBorder="1" applyAlignment="1">
      <alignment horizontal="center"/>
    </xf>
    <xf numFmtId="10" fontId="0" fillId="0" borderId="26" xfId="44" applyNumberFormat="1" applyFont="1" applyBorder="1" applyAlignment="1">
      <alignment horizontal="center"/>
    </xf>
    <xf numFmtId="166" fontId="0" fillId="0" borderId="27" xfId="44" applyNumberFormat="1" applyFont="1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9" fontId="0" fillId="0" borderId="27" xfId="44" applyFont="1" applyBorder="1" applyAlignment="1">
      <alignment horizontal="center"/>
    </xf>
    <xf numFmtId="0" fontId="0" fillId="0" borderId="25" xfId="0" applyBorder="1"/>
    <xf numFmtId="0" fontId="0" fillId="0" borderId="26" xfId="0" applyBorder="1"/>
    <xf numFmtId="0" fontId="0" fillId="0" borderId="27" xfId="0" applyBorder="1"/>
    <xf numFmtId="10" fontId="0" fillId="0" borderId="27" xfId="44" applyNumberFormat="1" applyFont="1" applyBorder="1" applyAlignment="1">
      <alignment horizontal="center"/>
    </xf>
    <xf numFmtId="0" fontId="0" fillId="0" borderId="27" xfId="0" applyBorder="1" applyAlignment="1">
      <alignment horizontal="center"/>
    </xf>
    <xf numFmtId="165" fontId="16" fillId="0" borderId="0" xfId="0" applyNumberFormat="1" applyFont="1" applyAlignment="1">
      <alignment horizontal="center"/>
    </xf>
    <xf numFmtId="10" fontId="0" fillId="0" borderId="0" xfId="0" applyNumberFormat="1" applyAlignment="1">
      <alignment horizontal="center"/>
    </xf>
    <xf numFmtId="9" fontId="0" fillId="0" borderId="0" xfId="44" applyFont="1"/>
    <xf numFmtId="9" fontId="16" fillId="0" borderId="0" xfId="44" applyFont="1" applyAlignment="1">
      <alignment horizontal="center"/>
    </xf>
    <xf numFmtId="9" fontId="0" fillId="0" borderId="0" xfId="44" applyFont="1" applyAlignment="1">
      <alignment horizontal="center"/>
    </xf>
    <xf numFmtId="44" fontId="0" fillId="0" borderId="0" xfId="0" applyNumberFormat="1"/>
    <xf numFmtId="14" fontId="0" fillId="0" borderId="0" xfId="0" applyNumberFormat="1" applyAlignment="1">
      <alignment horizontal="center"/>
    </xf>
    <xf numFmtId="0" fontId="0" fillId="0" borderId="0" xfId="0" applyAlignment="1">
      <alignment horizontal="left" indent="1"/>
    </xf>
    <xf numFmtId="167" fontId="0" fillId="0" borderId="0" xfId="0" applyNumberFormat="1" applyAlignment="1">
      <alignment horizontal="left" indent="1"/>
    </xf>
    <xf numFmtId="167" fontId="0" fillId="0" borderId="0" xfId="0" applyNumberFormat="1" applyAlignment="1">
      <alignment horizontal="left"/>
    </xf>
    <xf numFmtId="168" fontId="0" fillId="0" borderId="0" xfId="0" applyNumberFormat="1" applyAlignment="1">
      <alignment horizontal="left" indent="1"/>
    </xf>
    <xf numFmtId="10" fontId="16" fillId="33" borderId="28" xfId="0" applyNumberFormat="1" applyFont="1" applyFill="1" applyBorder="1" applyAlignment="1">
      <alignment horizontal="center"/>
    </xf>
    <xf numFmtId="44" fontId="16" fillId="0" borderId="29" xfId="2" applyFont="1" applyBorder="1" applyAlignment="1">
      <alignment horizontal="center"/>
    </xf>
    <xf numFmtId="44" fontId="16" fillId="0" borderId="30" xfId="2" applyFont="1" applyBorder="1" applyAlignment="1">
      <alignment horizontal="center"/>
    </xf>
    <xf numFmtId="17" fontId="0" fillId="0" borderId="17" xfId="0" applyNumberFormat="1" applyBorder="1" applyAlignment="1">
      <alignment horizontal="center"/>
    </xf>
    <xf numFmtId="0" fontId="16" fillId="33" borderId="17" xfId="0" applyFont="1" applyFill="1" applyBorder="1" applyAlignment="1">
      <alignment horizontal="center"/>
    </xf>
    <xf numFmtId="44" fontId="0" fillId="0" borderId="17" xfId="2" applyFont="1" applyBorder="1" applyAlignment="1">
      <alignment horizontal="center"/>
    </xf>
    <xf numFmtId="0" fontId="16" fillId="33" borderId="31" xfId="0" applyFont="1" applyFill="1" applyBorder="1" applyAlignment="1">
      <alignment horizontal="center"/>
    </xf>
    <xf numFmtId="44" fontId="0" fillId="0" borderId="31" xfId="2" applyFont="1" applyBorder="1" applyAlignment="1">
      <alignment horizontal="center"/>
    </xf>
    <xf numFmtId="0" fontId="16" fillId="33" borderId="11" xfId="0" applyFont="1" applyFill="1" applyBorder="1" applyAlignment="1">
      <alignment horizontal="center"/>
    </xf>
    <xf numFmtId="0" fontId="16" fillId="33" borderId="12" xfId="0" applyFont="1" applyFill="1" applyBorder="1" applyAlignment="1">
      <alignment horizontal="center"/>
    </xf>
    <xf numFmtId="0" fontId="16" fillId="33" borderId="13" xfId="0" applyFont="1" applyFill="1" applyBorder="1" applyAlignment="1">
      <alignment horizontal="center"/>
    </xf>
    <xf numFmtId="0" fontId="16" fillId="34" borderId="14" xfId="0" applyFont="1" applyFill="1" applyBorder="1" applyAlignment="1">
      <alignment horizontal="center"/>
    </xf>
    <xf numFmtId="0" fontId="16" fillId="34" borderId="15" xfId="0" applyFont="1" applyFill="1" applyBorder="1" applyAlignment="1">
      <alignment horizontal="center"/>
    </xf>
    <xf numFmtId="0" fontId="16" fillId="34" borderId="16" xfId="0" applyFont="1" applyFill="1" applyBorder="1" applyAlignment="1">
      <alignment horizontal="center"/>
    </xf>
    <xf numFmtId="0" fontId="16" fillId="35" borderId="14" xfId="0" applyFont="1" applyFill="1" applyBorder="1" applyAlignment="1">
      <alignment horizontal="center"/>
    </xf>
    <xf numFmtId="0" fontId="16" fillId="35" borderId="15" xfId="0" applyFont="1" applyFill="1" applyBorder="1" applyAlignment="1">
      <alignment horizontal="center"/>
    </xf>
    <xf numFmtId="0" fontId="16" fillId="35" borderId="16" xfId="0" applyFont="1" applyFill="1" applyBorder="1" applyAlignment="1">
      <alignment horizontal="center"/>
    </xf>
    <xf numFmtId="0" fontId="18" fillId="0" borderId="0" xfId="0" applyFont="1"/>
    <xf numFmtId="0" fontId="19" fillId="0" borderId="0" xfId="0" applyFont="1" applyAlignment="1">
      <alignment horizontal="left"/>
    </xf>
    <xf numFmtId="0" fontId="18" fillId="0" borderId="0" xfId="0" applyFont="1" applyAlignment="1">
      <alignment horizontal="center"/>
    </xf>
    <xf numFmtId="0" fontId="0" fillId="0" borderId="0" xfId="0" applyAlignment="1">
      <alignment vertical="center"/>
    </xf>
    <xf numFmtId="0" fontId="19" fillId="0" borderId="17" xfId="0" applyFont="1" applyBorder="1" applyAlignment="1">
      <alignment horizontal="left"/>
    </xf>
    <xf numFmtId="17" fontId="19" fillId="0" borderId="17" xfId="0" applyNumberFormat="1" applyFont="1" applyBorder="1" applyAlignment="1">
      <alignment horizontal="center"/>
    </xf>
    <xf numFmtId="17" fontId="19" fillId="0" borderId="0" xfId="0" applyNumberFormat="1" applyFont="1" applyAlignment="1">
      <alignment horizontal="center"/>
    </xf>
    <xf numFmtId="0" fontId="18" fillId="0" borderId="0" xfId="0" applyFont="1" applyAlignment="1">
      <alignment horizontal="left"/>
    </xf>
    <xf numFmtId="167" fontId="18" fillId="0" borderId="0" xfId="0" applyNumberFormat="1" applyFont="1" applyAlignment="1">
      <alignment horizontal="center"/>
    </xf>
    <xf numFmtId="167" fontId="20" fillId="36" borderId="32" xfId="0" applyNumberFormat="1" applyFont="1" applyFill="1" applyBorder="1" applyAlignment="1">
      <alignment horizontal="center" vertical="center"/>
    </xf>
    <xf numFmtId="167" fontId="0" fillId="0" borderId="0" xfId="0" applyNumberFormat="1" applyAlignment="1">
      <alignment horizontal="center" vertical="center"/>
    </xf>
    <xf numFmtId="167" fontId="0" fillId="0" borderId="0" xfId="0" applyNumberFormat="1" applyAlignment="1">
      <alignment horizontal="center"/>
    </xf>
    <xf numFmtId="0" fontId="20" fillId="37" borderId="32" xfId="0" applyFont="1" applyFill="1" applyBorder="1" applyAlignment="1">
      <alignment horizontal="left" vertical="center"/>
    </xf>
    <xf numFmtId="3" fontId="20" fillId="37" borderId="32" xfId="0" applyNumberFormat="1" applyFont="1" applyFill="1" applyBorder="1" applyAlignment="1">
      <alignment horizontal="center" vertical="center"/>
    </xf>
    <xf numFmtId="3" fontId="18" fillId="0" borderId="0" xfId="0" applyNumberFormat="1" applyFont="1"/>
    <xf numFmtId="0" fontId="20" fillId="36" borderId="32" xfId="0" applyFont="1" applyFill="1" applyBorder="1" applyAlignment="1">
      <alignment horizontal="left" vertical="center"/>
    </xf>
    <xf numFmtId="3" fontId="20" fillId="36" borderId="32" xfId="0" applyNumberFormat="1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 textRotation="90" wrapText="1"/>
    </xf>
    <xf numFmtId="0" fontId="19" fillId="0" borderId="0" xfId="0" applyFont="1" applyAlignment="1">
      <alignment horizontal="center" vertical="center" textRotation="90"/>
    </xf>
    <xf numFmtId="169" fontId="20" fillId="37" borderId="32" xfId="2" applyNumberFormat="1" applyFont="1" applyFill="1" applyBorder="1" applyAlignment="1">
      <alignment vertical="center"/>
    </xf>
    <xf numFmtId="3" fontId="0" fillId="0" borderId="0" xfId="0" applyNumberFormat="1" applyAlignment="1">
      <alignment vertical="center"/>
    </xf>
    <xf numFmtId="170" fontId="0" fillId="0" borderId="0" xfId="0" applyNumberFormat="1"/>
    <xf numFmtId="0" fontId="21" fillId="38" borderId="32" xfId="0" applyFont="1" applyFill="1" applyBorder="1" applyAlignment="1">
      <alignment horizontal="left" vertical="center"/>
    </xf>
    <xf numFmtId="0" fontId="21" fillId="38" borderId="32" xfId="0" applyFont="1" applyFill="1" applyBorder="1" applyAlignment="1">
      <alignment horizontal="center" vertical="center"/>
    </xf>
    <xf numFmtId="169" fontId="21" fillId="39" borderId="32" xfId="2" applyNumberFormat="1" applyFont="1" applyFill="1" applyBorder="1" applyAlignment="1">
      <alignment horizontal="center" vertical="center"/>
    </xf>
    <xf numFmtId="0" fontId="21" fillId="38" borderId="32" xfId="0" applyFont="1" applyFill="1" applyBorder="1" applyAlignment="1">
      <alignment horizontal="left" vertical="center" wrapText="1"/>
    </xf>
    <xf numFmtId="3" fontId="21" fillId="38" borderId="32" xfId="0" applyNumberFormat="1" applyFont="1" applyFill="1" applyBorder="1" applyAlignment="1">
      <alignment horizontal="center" vertical="center"/>
    </xf>
    <xf numFmtId="169" fontId="0" fillId="0" borderId="0" xfId="2" applyNumberFormat="1" applyFont="1"/>
    <xf numFmtId="169" fontId="18" fillId="0" borderId="0" xfId="2" applyNumberFormat="1" applyFont="1"/>
    <xf numFmtId="0" fontId="22" fillId="37" borderId="0" xfId="0" applyFont="1" applyFill="1" applyAlignment="1">
      <alignment horizontal="center" vertical="center" textRotation="90" wrapText="1"/>
    </xf>
    <xf numFmtId="3" fontId="21" fillId="38" borderId="32" xfId="2" applyNumberFormat="1" applyFont="1" applyFill="1" applyBorder="1" applyAlignment="1">
      <alignment horizontal="center" vertical="center"/>
    </xf>
    <xf numFmtId="3" fontId="21" fillId="38" borderId="32" xfId="1" applyNumberFormat="1" applyFont="1" applyFill="1" applyBorder="1" applyAlignment="1">
      <alignment horizontal="center" vertical="center"/>
    </xf>
    <xf numFmtId="170" fontId="0" fillId="0" borderId="0" xfId="0" applyNumberFormat="1" applyAlignment="1">
      <alignment vertical="center"/>
    </xf>
    <xf numFmtId="3" fontId="18" fillId="0" borderId="0" xfId="0" applyNumberFormat="1" applyFont="1" applyAlignment="1">
      <alignment horizontal="center"/>
    </xf>
    <xf numFmtId="3" fontId="18" fillId="0" borderId="0" xfId="2" applyNumberFormat="1" applyFont="1"/>
    <xf numFmtId="0" fontId="22" fillId="37" borderId="0" xfId="0" applyFont="1" applyFill="1" applyAlignment="1">
      <alignment horizontal="center" vertical="center" textRotation="90"/>
    </xf>
    <xf numFmtId="3" fontId="0" fillId="0" borderId="0" xfId="0" applyNumberFormat="1"/>
  </cellXfs>
  <cellStyles count="45">
    <cellStyle name="20% - Ênfase1" xfId="21" builtinId="30" customBuiltin="1"/>
    <cellStyle name="20% - Ênfase2" xfId="25" builtinId="34" customBuiltin="1"/>
    <cellStyle name="20% - Ênfase3" xfId="29" builtinId="38" customBuiltin="1"/>
    <cellStyle name="20% - Ênfase4" xfId="33" builtinId="42" customBuiltin="1"/>
    <cellStyle name="20% - Ênfase5" xfId="37" builtinId="46" customBuiltin="1"/>
    <cellStyle name="20% - Ênfase6" xfId="41" builtinId="50" customBuiltin="1"/>
    <cellStyle name="40% - Ênfase1" xfId="22" builtinId="31" customBuiltin="1"/>
    <cellStyle name="40% - Ênfase2" xfId="26" builtinId="35" customBuiltin="1"/>
    <cellStyle name="40% - Ênfase3" xfId="30" builtinId="39" customBuiltin="1"/>
    <cellStyle name="40% - Ênfase4" xfId="34" builtinId="43" customBuiltin="1"/>
    <cellStyle name="40% - Ênfase5" xfId="38" builtinId="47" customBuiltin="1"/>
    <cellStyle name="40% - Ênfase6" xfId="42" builtinId="51" customBuiltin="1"/>
    <cellStyle name="60% - Ênfase1" xfId="23" builtinId="32" customBuiltin="1"/>
    <cellStyle name="60% - Ênfase2" xfId="27" builtinId="36" customBuiltin="1"/>
    <cellStyle name="60% - Ênfase3" xfId="31" builtinId="40" customBuiltin="1"/>
    <cellStyle name="60% - Ênfase4" xfId="35" builtinId="44" customBuiltin="1"/>
    <cellStyle name="60% - Ênfase5" xfId="39" builtinId="48" customBuiltin="1"/>
    <cellStyle name="60% - Ênfase6" xfId="43" builtinId="52" customBuiltin="1"/>
    <cellStyle name="Bom" xfId="8" builtinId="26" customBuiltin="1"/>
    <cellStyle name="Cálculo" xfId="13" builtinId="22" customBuiltin="1"/>
    <cellStyle name="Célula de Verificação" xfId="15" builtinId="23" customBuiltin="1"/>
    <cellStyle name="Célula Vinculada" xfId="14" builtinId="24" customBuiltin="1"/>
    <cellStyle name="Ênfase1" xfId="20" builtinId="29" customBuiltin="1"/>
    <cellStyle name="Ênfase2" xfId="24" builtinId="33" customBuiltin="1"/>
    <cellStyle name="Ênfase3" xfId="28" builtinId="37" customBuiltin="1"/>
    <cellStyle name="Ênfase4" xfId="32" builtinId="41" customBuiltin="1"/>
    <cellStyle name="Ênfase5" xfId="36" builtinId="45" customBuiltin="1"/>
    <cellStyle name="Ênfase6" xfId="40" builtinId="49" customBuiltin="1"/>
    <cellStyle name="Entrada" xfId="11" builtinId="20" customBuiltin="1"/>
    <cellStyle name="Moeda" xfId="2" builtinId="4"/>
    <cellStyle name="Neutro" xfId="10" builtinId="28" customBuiltin="1"/>
    <cellStyle name="Normal" xfId="0" builtinId="0"/>
    <cellStyle name="Nota" xfId="17" builtinId="10" customBuiltin="1"/>
    <cellStyle name="Porcentagem" xfId="44" builtinId="5"/>
    <cellStyle name="Ruim" xfId="9" builtinId="27" customBuiltin="1"/>
    <cellStyle name="Saída" xfId="12" builtinId="21" customBuiltin="1"/>
    <cellStyle name="Texto de Aviso" xfId="16" builtinId="11" customBuiltin="1"/>
    <cellStyle name="Texto Explicativo" xfId="18" builtinId="53" customBuiltin="1"/>
    <cellStyle name="Título" xfId="3" builtinId="15" customBuiltin="1"/>
    <cellStyle name="Título 1" xfId="4" builtinId="16" customBuiltin="1"/>
    <cellStyle name="Título 2" xfId="5" builtinId="17" customBuiltin="1"/>
    <cellStyle name="Título 3" xfId="6" builtinId="18" customBuiltin="1"/>
    <cellStyle name="Título 4" xfId="7" builtinId="19" customBuiltin="1"/>
    <cellStyle name="Total" xfId="19" builtinId="25" customBuiltin="1"/>
    <cellStyle name="Vírgula" xfId="1" builtinId="3"/>
  </cellStyles>
  <dxfs count="9">
    <dxf>
      <numFmt numFmtId="167" formatCode="[$-416]mmm\-yy;@"/>
    </dxf>
    <dxf>
      <numFmt numFmtId="167" formatCode="[$-416]mmm\-yy;@"/>
    </dxf>
    <dxf>
      <numFmt numFmtId="168" formatCode="[$-F800]dddd\,\ mmmm\ dd\,\ yyyy"/>
    </dxf>
    <dxf>
      <numFmt numFmtId="167" formatCode="[$-416]mmm\-yy;@"/>
    </dxf>
    <dxf>
      <numFmt numFmtId="167" formatCode="[$-416]mmm\-yy;@"/>
    </dxf>
    <dxf>
      <numFmt numFmtId="168" formatCode="[$-F800]dddd\,\ mmmm\ dd\,\ yyyy"/>
    </dxf>
    <dxf>
      <numFmt numFmtId="168" formatCode="[$-F800]dddd\,\ mmmm\ dd\,\ yyyy"/>
    </dxf>
    <dxf>
      <numFmt numFmtId="167" formatCode="[$-416]mmm\-yy;@"/>
    </dxf>
    <dxf>
      <numFmt numFmtId="167" formatCode="[$-416]mmm\-yy;@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pivotCacheDefinition" Target="pivotCache/pivotCacheDefinition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j-ea"/>
                <a:cs typeface="Arial" panose="020B0604020202020204" pitchFamily="34" charset="0"/>
              </a:defRPr>
            </a:pPr>
            <a:r>
              <a:rPr lang="pt-BR" sz="1400" b="1">
                <a:latin typeface="Arial" panose="020B0604020202020204" pitchFamily="34" charset="0"/>
                <a:cs typeface="Arial" panose="020B0604020202020204" pitchFamily="34" charset="0"/>
              </a:rPr>
              <a:t>CURVA S - EMPREENDIMENTO NATBIM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0" normalizeH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j-ea"/>
              <a:cs typeface="Arial" panose="020B0604020202020204" pitchFamily="34" charset="0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2"/>
          <c:tx>
            <c:v>Data Status</c:v>
          </c:tx>
          <c:spPr>
            <a:solidFill>
              <a:schemeClr val="bg1">
                <a:lumMod val="85000"/>
              </a:schemeClr>
            </a:solidFill>
            <a:ln>
              <a:noFill/>
            </a:ln>
            <a:effectLst/>
          </c:spPr>
          <c:invertIfNegative val="0"/>
          <c:dPt>
            <c:idx val="3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  <a:ln w="25400">
                <a:noFill/>
                <a:prstDash val="dash"/>
              </a:ln>
              <a:effectLst/>
            </c:spPr>
            <c:extLst>
              <c:ext xmlns:c16="http://schemas.microsoft.com/office/drawing/2014/chart" uri="{C3380CC4-5D6E-409C-BE32-E72D297353CC}">
                <c16:uniqueId val="{00000001-A152-4048-B801-66B8476DC1F3}"/>
              </c:ext>
            </c:extLst>
          </c:dPt>
          <c:val>
            <c:numRef>
              <c:f>'CURVA S'!$A$3:$A$39</c:f>
              <c:numCache>
                <c:formatCode>General</c:formatCode>
                <c:ptCount val="37"/>
              </c:numCache>
            </c:numRef>
          </c:val>
          <c:extLst>
            <c:ext xmlns:c16="http://schemas.microsoft.com/office/drawing/2014/chart" uri="{C3380CC4-5D6E-409C-BE32-E72D297353CC}">
              <c16:uniqueId val="{00000002-A152-4048-B801-66B8476DC1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9"/>
        <c:axId val="2115672767"/>
        <c:axId val="2115673183"/>
      </c:barChart>
      <c:barChart>
        <c:barDir val="col"/>
        <c:grouping val="clustered"/>
        <c:varyColors val="0"/>
        <c:ser>
          <c:idx val="1"/>
          <c:order val="0"/>
          <c:tx>
            <c:v>Plan Sem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'CURVA S'!$E$3:$E$44</c:f>
              <c:numCache>
                <c:formatCode>0.00%</c:formatCode>
                <c:ptCount val="42"/>
                <c:pt idx="0">
                  <c:v>1.7727727751270176E-3</c:v>
                </c:pt>
                <c:pt idx="1">
                  <c:v>0</c:v>
                </c:pt>
                <c:pt idx="2">
                  <c:v>2.2384609450866174E-2</c:v>
                </c:pt>
                <c:pt idx="3">
                  <c:v>4.5634002889326036E-2</c:v>
                </c:pt>
                <c:pt idx="4">
                  <c:v>2.2806836867359613E-4</c:v>
                </c:pt>
                <c:pt idx="5">
                  <c:v>0</c:v>
                </c:pt>
                <c:pt idx="6">
                  <c:v>2.2749410884291086E-2</c:v>
                </c:pt>
                <c:pt idx="7">
                  <c:v>6.2930270671009786E-2</c:v>
                </c:pt>
                <c:pt idx="8">
                  <c:v>4.2285441873886984E-2</c:v>
                </c:pt>
                <c:pt idx="9">
                  <c:v>6.3111188334009763E-2</c:v>
                </c:pt>
                <c:pt idx="10">
                  <c:v>4.2285441873886984E-2</c:v>
                </c:pt>
                <c:pt idx="11">
                  <c:v>6.3111188334009763E-2</c:v>
                </c:pt>
                <c:pt idx="12">
                  <c:v>4.2285441873886984E-2</c:v>
                </c:pt>
                <c:pt idx="13">
                  <c:v>7.1879367480307765E-2</c:v>
                </c:pt>
                <c:pt idx="14">
                  <c:v>5.3197812058601406E-2</c:v>
                </c:pt>
                <c:pt idx="15">
                  <c:v>2.260675916667201E-2</c:v>
                </c:pt>
                <c:pt idx="16">
                  <c:v>1.855755366504842E-2</c:v>
                </c:pt>
                <c:pt idx="17">
                  <c:v>1.0970030648686572E-2</c:v>
                </c:pt>
                <c:pt idx="18">
                  <c:v>4.4213210209046727E-2</c:v>
                </c:pt>
                <c:pt idx="19">
                  <c:v>1.3320152960078919E-2</c:v>
                </c:pt>
                <c:pt idx="20">
                  <c:v>1.2247655898242945E-2</c:v>
                </c:pt>
                <c:pt idx="21">
                  <c:v>2.070902742089788E-2</c:v>
                </c:pt>
                <c:pt idx="22">
                  <c:v>2.0048526578994554E-2</c:v>
                </c:pt>
                <c:pt idx="23">
                  <c:v>1.7754843549643018E-2</c:v>
                </c:pt>
                <c:pt idx="24">
                  <c:v>1.7754843549643018E-2</c:v>
                </c:pt>
                <c:pt idx="25">
                  <c:v>4.4383817532817737E-3</c:v>
                </c:pt>
                <c:pt idx="26">
                  <c:v>2.1706415381425481E-2</c:v>
                </c:pt>
                <c:pt idx="27">
                  <c:v>2.061380909903316E-2</c:v>
                </c:pt>
                <c:pt idx="28">
                  <c:v>2.4702115522805986E-2</c:v>
                </c:pt>
                <c:pt idx="29">
                  <c:v>2.6726966576584667E-2</c:v>
                </c:pt>
                <c:pt idx="30">
                  <c:v>1.1785853712278993E-2</c:v>
                </c:pt>
                <c:pt idx="31">
                  <c:v>1.8454126220077454E-2</c:v>
                </c:pt>
                <c:pt idx="32">
                  <c:v>1.8894634597222994E-2</c:v>
                </c:pt>
                <c:pt idx="33">
                  <c:v>1.9559397456486445E-2</c:v>
                </c:pt>
                <c:pt idx="34">
                  <c:v>3.002144011881799E-2</c:v>
                </c:pt>
                <c:pt idx="35">
                  <c:v>2.5548848707184654E-2</c:v>
                </c:pt>
                <c:pt idx="36">
                  <c:v>8.5831532785946608E-3</c:v>
                </c:pt>
                <c:pt idx="37">
                  <c:v>1.3006450734975059E-2</c:v>
                </c:pt>
                <c:pt idx="38">
                  <c:v>1.5735034632829544E-2</c:v>
                </c:pt>
                <c:pt idx="39">
                  <c:v>2.728583897854484E-3</c:v>
                </c:pt>
                <c:pt idx="40">
                  <c:v>2.728583897854484E-3</c:v>
                </c:pt>
                <c:pt idx="41">
                  <c:v>2.728583897854484E-3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3-A152-4048-B801-66B8476DC1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9"/>
        <c:axId val="58086063"/>
        <c:axId val="58085647"/>
        <c:extLst/>
      </c:barChart>
      <c:lineChart>
        <c:grouping val="standard"/>
        <c:varyColors val="0"/>
        <c:ser>
          <c:idx val="2"/>
          <c:order val="1"/>
          <c:tx>
            <c:v>Plan Acumulado</c:v>
          </c:tx>
          <c:spPr>
            <a:ln w="3810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'CURVA S'!$F$3:$F$44</c:f>
              <c:numCache>
                <c:formatCode>0.0%</c:formatCode>
                <c:ptCount val="42"/>
                <c:pt idx="0">
                  <c:v>1.7727727751270176E-3</c:v>
                </c:pt>
                <c:pt idx="1">
                  <c:v>1.7727727751270176E-3</c:v>
                </c:pt>
                <c:pt idx="2">
                  <c:v>2.4157382225993191E-2</c:v>
                </c:pt>
                <c:pt idx="3" formatCode="0.00%">
                  <c:v>6.9791385115319224E-2</c:v>
                </c:pt>
                <c:pt idx="4">
                  <c:v>7.0019453483992827E-2</c:v>
                </c:pt>
                <c:pt idx="5">
                  <c:v>7.0019453483992827E-2</c:v>
                </c:pt>
                <c:pt idx="6">
                  <c:v>9.276886436828391E-2</c:v>
                </c:pt>
                <c:pt idx="7">
                  <c:v>0.1556991350392937</c:v>
                </c:pt>
                <c:pt idx="8">
                  <c:v>0.19798457691318069</c:v>
                </c:pt>
                <c:pt idx="9">
                  <c:v>0.26109576524719041</c:v>
                </c:pt>
                <c:pt idx="10">
                  <c:v>0.30338120712107741</c:v>
                </c:pt>
                <c:pt idx="11">
                  <c:v>0.36649239545508722</c:v>
                </c:pt>
                <c:pt idx="12">
                  <c:v>0.40877783732897421</c:v>
                </c:pt>
                <c:pt idx="13">
                  <c:v>0.48065720480928198</c:v>
                </c:pt>
                <c:pt idx="14">
                  <c:v>0.5338550168678835</c:v>
                </c:pt>
                <c:pt idx="15">
                  <c:v>0.55646177603455538</c:v>
                </c:pt>
                <c:pt idx="16">
                  <c:v>0.57501932969960379</c:v>
                </c:pt>
                <c:pt idx="17">
                  <c:v>0.58598936034829041</c:v>
                </c:pt>
                <c:pt idx="18">
                  <c:v>0.63020257055733719</c:v>
                </c:pt>
                <c:pt idx="19">
                  <c:v>0.64352272351741613</c:v>
                </c:pt>
                <c:pt idx="20">
                  <c:v>0.65577037941565908</c:v>
                </c:pt>
                <c:pt idx="21">
                  <c:v>0.67647940683655694</c:v>
                </c:pt>
                <c:pt idx="22">
                  <c:v>0.69652793341555153</c:v>
                </c:pt>
                <c:pt idx="23">
                  <c:v>0.71428277696519449</c:v>
                </c:pt>
                <c:pt idx="24">
                  <c:v>0.73203762051483745</c:v>
                </c:pt>
                <c:pt idx="25">
                  <c:v>0.73647600226811927</c:v>
                </c:pt>
                <c:pt idx="26">
                  <c:v>0.75818241764954475</c:v>
                </c:pt>
                <c:pt idx="27">
                  <c:v>0.77879622674857796</c:v>
                </c:pt>
                <c:pt idx="28">
                  <c:v>0.80349834227138395</c:v>
                </c:pt>
                <c:pt idx="29">
                  <c:v>0.83022530884796863</c:v>
                </c:pt>
                <c:pt idx="30">
                  <c:v>0.84201116256024766</c:v>
                </c:pt>
                <c:pt idx="31">
                  <c:v>0.86046528878032513</c:v>
                </c:pt>
                <c:pt idx="32">
                  <c:v>0.87935992337754809</c:v>
                </c:pt>
                <c:pt idx="33">
                  <c:v>0.89891932083403447</c:v>
                </c:pt>
                <c:pt idx="34">
                  <c:v>0.92894076095285238</c:v>
                </c:pt>
                <c:pt idx="35">
                  <c:v>0.95448960966003704</c:v>
                </c:pt>
                <c:pt idx="36">
                  <c:v>0.96307276293863175</c:v>
                </c:pt>
                <c:pt idx="37">
                  <c:v>0.97607921367360684</c:v>
                </c:pt>
                <c:pt idx="38">
                  <c:v>0.99181424830643639</c:v>
                </c:pt>
                <c:pt idx="39">
                  <c:v>0.99454283220429085</c:v>
                </c:pt>
                <c:pt idx="40">
                  <c:v>0.99727141610214542</c:v>
                </c:pt>
                <c:pt idx="41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152-4048-B801-66B8476DC1F3}"/>
            </c:ext>
          </c:extLst>
        </c:ser>
        <c:ser>
          <c:idx val="3"/>
          <c:order val="3"/>
          <c:tx>
            <c:v>Exe Acumulado</c:v>
          </c:tx>
          <c:spPr>
            <a:ln w="3810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'CURVA S'!$J$3:$J$44</c:f>
              <c:numCache>
                <c:formatCode>0%</c:formatCode>
                <c:ptCount val="4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152-4048-B801-66B8476DC1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15672767"/>
        <c:axId val="2115673183"/>
      </c:lineChart>
      <c:catAx>
        <c:axId val="211567276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pt-BR" sz="1200" b="1">
                    <a:latin typeface="Arial" panose="020B0604020202020204" pitchFamily="34" charset="0"/>
                    <a:cs typeface="Arial" panose="020B0604020202020204" pitchFamily="34" charset="0"/>
                  </a:rPr>
                  <a:t>semanas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1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pt-BR"/>
            </a:p>
          </c:txPr>
        </c:title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2115673183"/>
        <c:crosses val="autoZero"/>
        <c:auto val="1"/>
        <c:lblAlgn val="ctr"/>
        <c:lblOffset val="100"/>
        <c:noMultiLvlLbl val="0"/>
      </c:catAx>
      <c:valAx>
        <c:axId val="2115673183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pt-BR" sz="1200" b="1">
                    <a:latin typeface="Arial" panose="020B0604020202020204" pitchFamily="34" charset="0"/>
                    <a:cs typeface="Arial" panose="020B0604020202020204" pitchFamily="34" charset="0"/>
                  </a:rPr>
                  <a:t>% acumulado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pt-BR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115672767"/>
        <c:crosses val="autoZero"/>
        <c:crossBetween val="between"/>
      </c:valAx>
      <c:valAx>
        <c:axId val="58085647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pt-BR" sz="1200" b="1">
                    <a:latin typeface="Arial" panose="020B0604020202020204" pitchFamily="34" charset="0"/>
                    <a:cs typeface="Arial" panose="020B0604020202020204" pitchFamily="34" charset="0"/>
                  </a:rPr>
                  <a:t>% semana 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pt-BR"/>
            </a:p>
          </c:txPr>
        </c:title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8086063"/>
        <c:crosses val="max"/>
        <c:crossBetween val="between"/>
      </c:valAx>
      <c:catAx>
        <c:axId val="58086063"/>
        <c:scaling>
          <c:orientation val="minMax"/>
        </c:scaling>
        <c:delete val="1"/>
        <c:axPos val="b"/>
        <c:majorTickMark val="out"/>
        <c:minorTickMark val="none"/>
        <c:tickLblPos val="nextTo"/>
        <c:crossAx val="58085647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7393206511048673E-2"/>
          <c:y val="6.5225481025337775E-2"/>
          <c:w val="0.79292952123679572"/>
          <c:h val="0.7708217794705619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'FLUXO DE CAIXA'!$C$10</c:f>
              <c:strCache>
                <c:ptCount val="1"/>
                <c:pt idx="0">
                  <c:v>SALDO OPERACIONAL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4DD7-4000-A590-58AAAC8D470F}"/>
              </c:ext>
            </c:extLst>
          </c:dPt>
          <c:dPt>
            <c:idx val="2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4DD7-4000-A590-58AAAC8D470F}"/>
              </c:ext>
            </c:extLst>
          </c:dPt>
          <c:dPt>
            <c:idx val="3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4DD7-4000-A590-58AAAC8D470F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4DD7-4000-A590-58AAAC8D470F}"/>
              </c:ext>
            </c:extLst>
          </c:dPt>
          <c:dPt>
            <c:idx val="8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4DD7-4000-A590-58AAAC8D470F}"/>
              </c:ext>
            </c:extLst>
          </c:dPt>
          <c:dPt>
            <c:idx val="11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4DD7-4000-A590-58AAAC8D470F}"/>
              </c:ext>
            </c:extLst>
          </c:dPt>
          <c:dPt>
            <c:idx val="12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4DD7-4000-A590-58AAAC8D470F}"/>
              </c:ext>
            </c:extLst>
          </c:dPt>
          <c:cat>
            <c:numRef>
              <c:f>'FLUXO DE CAIXA'!$D$6:$U$6</c:f>
              <c:numCache>
                <c:formatCode>[$-416]mmm\-yy;@</c:formatCode>
                <c:ptCount val="18"/>
                <c:pt idx="0">
                  <c:v>44470</c:v>
                </c:pt>
                <c:pt idx="1">
                  <c:v>44501</c:v>
                </c:pt>
                <c:pt idx="2">
                  <c:v>44531</c:v>
                </c:pt>
                <c:pt idx="3">
                  <c:v>44562</c:v>
                </c:pt>
                <c:pt idx="4">
                  <c:v>44593</c:v>
                </c:pt>
                <c:pt idx="5">
                  <c:v>44621</c:v>
                </c:pt>
                <c:pt idx="6">
                  <c:v>44652</c:v>
                </c:pt>
                <c:pt idx="7">
                  <c:v>44682</c:v>
                </c:pt>
                <c:pt idx="8">
                  <c:v>44713</c:v>
                </c:pt>
                <c:pt idx="9">
                  <c:v>44743</c:v>
                </c:pt>
                <c:pt idx="10">
                  <c:v>44774</c:v>
                </c:pt>
                <c:pt idx="11">
                  <c:v>44805</c:v>
                </c:pt>
                <c:pt idx="12">
                  <c:v>44835</c:v>
                </c:pt>
                <c:pt idx="13">
                  <c:v>44866</c:v>
                </c:pt>
                <c:pt idx="14">
                  <c:v>44896</c:v>
                </c:pt>
                <c:pt idx="15">
                  <c:v>44927</c:v>
                </c:pt>
                <c:pt idx="16">
                  <c:v>44958</c:v>
                </c:pt>
                <c:pt idx="17">
                  <c:v>44986</c:v>
                </c:pt>
              </c:numCache>
            </c:numRef>
          </c:cat>
          <c:val>
            <c:numRef>
              <c:f>'FLUXO DE CAIXA'!$D$10:$U$10</c:f>
              <c:numCache>
                <c:formatCode>#,##0</c:formatCode>
                <c:ptCount val="18"/>
                <c:pt idx="0">
                  <c:v>-130800</c:v>
                </c:pt>
                <c:pt idx="1">
                  <c:v>68253.403578137368</c:v>
                </c:pt>
                <c:pt idx="2">
                  <c:v>60753.844168161624</c:v>
                </c:pt>
                <c:pt idx="3">
                  <c:v>44476.349908123084</c:v>
                </c:pt>
                <c:pt idx="4">
                  <c:v>165379.21757033217</c:v>
                </c:pt>
                <c:pt idx="5">
                  <c:v>175993.488274651</c:v>
                </c:pt>
                <c:pt idx="6">
                  <c:v>177041.47639730299</c:v>
                </c:pt>
                <c:pt idx="7">
                  <c:v>34785.726477946388</c:v>
                </c:pt>
                <c:pt idx="8">
                  <c:v>-7535.5628293311747</c:v>
                </c:pt>
                <c:pt idx="9">
                  <c:v>24528.725130581995</c:v>
                </c:pt>
                <c:pt idx="10">
                  <c:v>13115.520903696917</c:v>
                </c:pt>
                <c:pt idx="11">
                  <c:v>-49239.731467746649</c:v>
                </c:pt>
                <c:pt idx="12">
                  <c:v>-19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4DD7-4000-A590-58AAAC8D47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71934160"/>
        <c:axId val="771941232"/>
      </c:barChart>
      <c:lineChart>
        <c:grouping val="stacked"/>
        <c:varyColors val="0"/>
        <c:ser>
          <c:idx val="1"/>
          <c:order val="1"/>
          <c:tx>
            <c:v>SALDO FINAL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val>
            <c:numRef>
              <c:f>'FLUXO DE CAIXA'!$D$11:$U$11</c:f>
              <c:numCache>
                <c:formatCode>#,##0</c:formatCode>
                <c:ptCount val="18"/>
                <c:pt idx="0">
                  <c:v>-130800</c:v>
                </c:pt>
                <c:pt idx="1">
                  <c:v>-62546.596421862632</c:v>
                </c:pt>
                <c:pt idx="2">
                  <c:v>-1792.7522537010082</c:v>
                </c:pt>
                <c:pt idx="3">
                  <c:v>42683.597654422076</c:v>
                </c:pt>
                <c:pt idx="4">
                  <c:v>208062.81522475425</c:v>
                </c:pt>
                <c:pt idx="5">
                  <c:v>384056.30349940527</c:v>
                </c:pt>
                <c:pt idx="6">
                  <c:v>561097.77989670821</c:v>
                </c:pt>
                <c:pt idx="7">
                  <c:v>595883.50637465459</c:v>
                </c:pt>
                <c:pt idx="8">
                  <c:v>588347.94354532345</c:v>
                </c:pt>
                <c:pt idx="9">
                  <c:v>612876.66867590544</c:v>
                </c:pt>
                <c:pt idx="10">
                  <c:v>625992.18957960233</c:v>
                </c:pt>
                <c:pt idx="11">
                  <c:v>576752.45811185567</c:v>
                </c:pt>
                <c:pt idx="12">
                  <c:v>576733.45811185567</c:v>
                </c:pt>
                <c:pt idx="13">
                  <c:v>576733.45811185567</c:v>
                </c:pt>
                <c:pt idx="14">
                  <c:v>576733.45811185567</c:v>
                </c:pt>
                <c:pt idx="15">
                  <c:v>576733.45811185567</c:v>
                </c:pt>
                <c:pt idx="16">
                  <c:v>576733.45811185567</c:v>
                </c:pt>
                <c:pt idx="17">
                  <c:v>576733.45811185567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4DD7-4000-A590-58AAAC8D47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1934160"/>
        <c:axId val="771941232"/>
      </c:lineChart>
      <c:dateAx>
        <c:axId val="771934160"/>
        <c:scaling>
          <c:orientation val="minMax"/>
        </c:scaling>
        <c:delete val="0"/>
        <c:axPos val="b"/>
        <c:numFmt formatCode="[$-416]mmm\-yy;@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771941232"/>
        <c:crosses val="autoZero"/>
        <c:auto val="1"/>
        <c:lblOffset val="100"/>
        <c:baseTimeUnit val="months"/>
      </c:dateAx>
      <c:valAx>
        <c:axId val="7719412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771934160"/>
        <c:crosses val="autoZero"/>
        <c:crossBetween val="between"/>
      </c:valAx>
      <c:spPr>
        <a:solidFill>
          <a:schemeClr val="bg1">
            <a:lumMod val="95000"/>
          </a:schemeClr>
        </a:solidFill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6694991335937255"/>
          <c:y val="0.38418866292970821"/>
          <c:w val="9.4408577936286792E-2"/>
          <c:h val="0.1637126972559480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none" spc="0" normalizeH="0" baseline="0">
                <a:solidFill>
                  <a:schemeClr val="dk1">
                    <a:lumMod val="50000"/>
                    <a:lumOff val="50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en-US" sz="120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ENTRADA X SAÍDA</a:t>
            </a:r>
          </a:p>
        </c:rich>
      </c:tx>
      <c:layout>
        <c:manualLayout>
          <c:xMode val="edge"/>
          <c:yMode val="edge"/>
          <c:x val="2.2397687299837283E-2"/>
          <c:y val="4.930119438936880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none" spc="0" normalizeH="0" baseline="0">
              <a:solidFill>
                <a:schemeClr val="dk1">
                  <a:lumMod val="50000"/>
                  <a:lumOff val="50000"/>
                </a:schemeClr>
              </a:solidFill>
              <a:latin typeface="+mj-lt"/>
              <a:ea typeface="+mj-ea"/>
              <a:cs typeface="+mj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7.0188510568448367E-2"/>
          <c:y val="0.2082476597094591"/>
          <c:w val="0.87098299253744504"/>
          <c:h val="0.6145416940118927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'FLUXO DE CAIXA'!$C$7</c:f>
              <c:strCache>
                <c:ptCount val="1"/>
                <c:pt idx="0">
                  <c:v>ENTRADA (+)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numRef>
              <c:f>'FLUXO DE CAIXA'!$D$6:$U$6</c:f>
              <c:numCache>
                <c:formatCode>[$-416]mmm\-yy;@</c:formatCode>
                <c:ptCount val="18"/>
                <c:pt idx="0">
                  <c:v>44470</c:v>
                </c:pt>
                <c:pt idx="1">
                  <c:v>44501</c:v>
                </c:pt>
                <c:pt idx="2">
                  <c:v>44531</c:v>
                </c:pt>
                <c:pt idx="3">
                  <c:v>44562</c:v>
                </c:pt>
                <c:pt idx="4">
                  <c:v>44593</c:v>
                </c:pt>
                <c:pt idx="5">
                  <c:v>44621</c:v>
                </c:pt>
                <c:pt idx="6">
                  <c:v>44652</c:v>
                </c:pt>
                <c:pt idx="7">
                  <c:v>44682</c:v>
                </c:pt>
                <c:pt idx="8">
                  <c:v>44713</c:v>
                </c:pt>
                <c:pt idx="9">
                  <c:v>44743</c:v>
                </c:pt>
                <c:pt idx="10">
                  <c:v>44774</c:v>
                </c:pt>
                <c:pt idx="11">
                  <c:v>44805</c:v>
                </c:pt>
                <c:pt idx="12">
                  <c:v>44835</c:v>
                </c:pt>
                <c:pt idx="13">
                  <c:v>44866</c:v>
                </c:pt>
                <c:pt idx="14">
                  <c:v>44896</c:v>
                </c:pt>
                <c:pt idx="15">
                  <c:v>44927</c:v>
                </c:pt>
                <c:pt idx="16">
                  <c:v>44958</c:v>
                </c:pt>
                <c:pt idx="17">
                  <c:v>44986</c:v>
                </c:pt>
              </c:numCache>
            </c:numRef>
          </c:cat>
          <c:val>
            <c:numRef>
              <c:f>'FLUXO DE CAIXA'!$D$7:$U$7</c:f>
              <c:numCache>
                <c:formatCode>#,##0</c:formatCode>
                <c:ptCount val="18"/>
                <c:pt idx="0">
                  <c:v>0</c:v>
                </c:pt>
                <c:pt idx="1">
                  <c:v>200000</c:v>
                </c:pt>
                <c:pt idx="2">
                  <c:v>200000</c:v>
                </c:pt>
                <c:pt idx="3">
                  <c:v>400000</c:v>
                </c:pt>
                <c:pt idx="4">
                  <c:v>600000</c:v>
                </c:pt>
                <c:pt idx="5">
                  <c:v>600000</c:v>
                </c:pt>
                <c:pt idx="6">
                  <c:v>400000</c:v>
                </c:pt>
                <c:pt idx="7">
                  <c:v>200000</c:v>
                </c:pt>
                <c:pt idx="8">
                  <c:v>200000</c:v>
                </c:pt>
                <c:pt idx="9">
                  <c:v>200000</c:v>
                </c:pt>
                <c:pt idx="10">
                  <c:v>200000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E6-43D0-A69F-C02A50253F4A}"/>
            </c:ext>
          </c:extLst>
        </c:ser>
        <c:ser>
          <c:idx val="1"/>
          <c:order val="1"/>
          <c:tx>
            <c:strRef>
              <c:f>'FLUXO DE CAIXA'!$C$8</c:f>
              <c:strCache>
                <c:ptCount val="1"/>
                <c:pt idx="0">
                  <c:v>SAÍDA (-)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numRef>
              <c:f>'FLUXO DE CAIXA'!$D$6:$U$6</c:f>
              <c:numCache>
                <c:formatCode>[$-416]mmm\-yy;@</c:formatCode>
                <c:ptCount val="18"/>
                <c:pt idx="0">
                  <c:v>44470</c:v>
                </c:pt>
                <c:pt idx="1">
                  <c:v>44501</c:v>
                </c:pt>
                <c:pt idx="2">
                  <c:v>44531</c:v>
                </c:pt>
                <c:pt idx="3">
                  <c:v>44562</c:v>
                </c:pt>
                <c:pt idx="4">
                  <c:v>44593</c:v>
                </c:pt>
                <c:pt idx="5">
                  <c:v>44621</c:v>
                </c:pt>
                <c:pt idx="6">
                  <c:v>44652</c:v>
                </c:pt>
                <c:pt idx="7">
                  <c:v>44682</c:v>
                </c:pt>
                <c:pt idx="8">
                  <c:v>44713</c:v>
                </c:pt>
                <c:pt idx="9">
                  <c:v>44743</c:v>
                </c:pt>
                <c:pt idx="10">
                  <c:v>44774</c:v>
                </c:pt>
                <c:pt idx="11">
                  <c:v>44805</c:v>
                </c:pt>
                <c:pt idx="12">
                  <c:v>44835</c:v>
                </c:pt>
                <c:pt idx="13">
                  <c:v>44866</c:v>
                </c:pt>
                <c:pt idx="14">
                  <c:v>44896</c:v>
                </c:pt>
                <c:pt idx="15">
                  <c:v>44927</c:v>
                </c:pt>
                <c:pt idx="16">
                  <c:v>44958</c:v>
                </c:pt>
                <c:pt idx="17">
                  <c:v>44986</c:v>
                </c:pt>
              </c:numCache>
            </c:numRef>
          </c:cat>
          <c:val>
            <c:numRef>
              <c:f>'FLUXO DE CAIXA'!$D$8:$U$8</c:f>
              <c:numCache>
                <c:formatCode>#,##0</c:formatCode>
                <c:ptCount val="18"/>
                <c:pt idx="0">
                  <c:v>130800</c:v>
                </c:pt>
                <c:pt idx="1">
                  <c:v>131746.59642186263</c:v>
                </c:pt>
                <c:pt idx="2">
                  <c:v>139246.15583183838</c:v>
                </c:pt>
                <c:pt idx="3">
                  <c:v>355523.65009187692</c:v>
                </c:pt>
                <c:pt idx="4">
                  <c:v>434620.78242966783</c:v>
                </c:pt>
                <c:pt idx="5">
                  <c:v>424006.511725349</c:v>
                </c:pt>
                <c:pt idx="6">
                  <c:v>222958.52360269701</c:v>
                </c:pt>
                <c:pt idx="7">
                  <c:v>165214.27352205361</c:v>
                </c:pt>
                <c:pt idx="8">
                  <c:v>207535.56282933117</c:v>
                </c:pt>
                <c:pt idx="9">
                  <c:v>175471.274869418</c:v>
                </c:pt>
                <c:pt idx="10">
                  <c:v>186884.47909630308</c:v>
                </c:pt>
                <c:pt idx="11">
                  <c:v>49239.731467746649</c:v>
                </c:pt>
                <c:pt idx="12">
                  <c:v>19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6E6-43D0-A69F-C02A50253F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71956208"/>
        <c:axId val="771950800"/>
      </c:barChart>
      <c:dateAx>
        <c:axId val="771956208"/>
        <c:scaling>
          <c:orientation val="minMax"/>
        </c:scaling>
        <c:delete val="0"/>
        <c:axPos val="b"/>
        <c:numFmt formatCode="[$-416]mmm\-yy;@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cap="none" spc="0" normalizeH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771950800"/>
        <c:crosses val="autoZero"/>
        <c:auto val="1"/>
        <c:lblOffset val="100"/>
        <c:baseTimeUnit val="months"/>
      </c:dateAx>
      <c:valAx>
        <c:axId val="7719508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771956208"/>
        <c:crosses val="autoZero"/>
        <c:crossBetween val="between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8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176893</xdr:colOff>
      <xdr:row>0</xdr:row>
      <xdr:rowOff>176892</xdr:rowOff>
    </xdr:from>
    <xdr:to>
      <xdr:col>39</xdr:col>
      <xdr:colOff>449036</xdr:colOff>
      <xdr:row>29</xdr:row>
      <xdr:rowOff>95249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50A34F32-51E1-4180-9FA3-DFDC558E0C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1387929</xdr:colOff>
      <xdr:row>22</xdr:row>
      <xdr:rowOff>57150</xdr:rowOff>
    </xdr:from>
    <xdr:to>
      <xdr:col>23</xdr:col>
      <xdr:colOff>470647</xdr:colOff>
      <xdr:row>36</xdr:row>
      <xdr:rowOff>100853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E2ABCC1-396E-4467-A9BD-9014EBB6F5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1374322</xdr:colOff>
      <xdr:row>11</xdr:row>
      <xdr:rowOff>143557</xdr:rowOff>
    </xdr:from>
    <xdr:to>
      <xdr:col>22</xdr:col>
      <xdr:colOff>653144</xdr:colOff>
      <xdr:row>21</xdr:row>
      <xdr:rowOff>176895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4A50914B-6D68-4B4C-81E3-CB77DBFB80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5190c61168eb4c48/&#193;rea%20de%20Trabalho/Curso%20-%20Turma%202/Aula%203.4/Aula%204.1_Or&#231;amento%20Geral_11MES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ÇAMENTO GERAL"/>
      <sheetName val="Vico Edificação"/>
      <sheetName val="VICO"/>
      <sheetName val="Classificação"/>
      <sheetName val="Classificação 2"/>
      <sheetName val="classificação dos custos - graf"/>
      <sheetName val="SEMANAS"/>
      <sheetName val="MTMO"/>
      <sheetName val="peso tarefas"/>
      <sheetName val="PLANEJADO"/>
      <sheetName val="EXECUTADO"/>
      <sheetName val="CURVA S"/>
      <sheetName val="Planilha15"/>
      <sheetName val="FC- edificação"/>
      <sheetName val="Planilha4"/>
      <sheetName val="FC - outros"/>
      <sheetName val="FLUXO DE CAIXA"/>
      <sheetName val="DASHBOAR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6">
          <cell r="D6">
            <v>44378</v>
          </cell>
          <cell r="E6">
            <v>44409</v>
          </cell>
          <cell r="F6">
            <v>44440</v>
          </cell>
          <cell r="G6">
            <v>44470</v>
          </cell>
          <cell r="H6">
            <v>44501</v>
          </cell>
          <cell r="I6">
            <v>44531</v>
          </cell>
          <cell r="J6">
            <v>44562</v>
          </cell>
          <cell r="K6">
            <v>44593</v>
          </cell>
          <cell r="L6">
            <v>44621</v>
          </cell>
          <cell r="M6">
            <v>44652</v>
          </cell>
          <cell r="N6">
            <v>44682</v>
          </cell>
          <cell r="O6">
            <v>44713</v>
          </cell>
          <cell r="P6">
            <v>44743</v>
          </cell>
          <cell r="Q6">
            <v>44774</v>
          </cell>
          <cell r="R6">
            <v>44805</v>
          </cell>
          <cell r="S6">
            <v>44835</v>
          </cell>
          <cell r="T6">
            <v>44866</v>
          </cell>
          <cell r="U6">
            <v>44896</v>
          </cell>
        </row>
        <row r="7">
          <cell r="C7" t="str">
            <v>ENTRADA (+)</v>
          </cell>
          <cell r="D7">
            <v>0</v>
          </cell>
          <cell r="E7">
            <v>200000</v>
          </cell>
          <cell r="F7">
            <v>200000</v>
          </cell>
          <cell r="G7">
            <v>400000</v>
          </cell>
          <cell r="H7">
            <v>600000</v>
          </cell>
          <cell r="I7">
            <v>600000</v>
          </cell>
          <cell r="J7">
            <v>400000</v>
          </cell>
          <cell r="K7">
            <v>200000</v>
          </cell>
          <cell r="L7">
            <v>200000</v>
          </cell>
          <cell r="M7">
            <v>200000</v>
          </cell>
          <cell r="N7">
            <v>200000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</row>
        <row r="8">
          <cell r="C8" t="str">
            <v>SAÍDA (-)</v>
          </cell>
          <cell r="D8">
            <v>125800</v>
          </cell>
          <cell r="E8">
            <v>175707.01536111027</v>
          </cell>
          <cell r="F8">
            <v>351398.53103390604</v>
          </cell>
          <cell r="G8">
            <v>429908.36032028066</v>
          </cell>
          <cell r="H8">
            <v>338946.38629607751</v>
          </cell>
          <cell r="I8">
            <v>262395.37730526028</v>
          </cell>
          <cell r="J8">
            <v>243727.47441566386</v>
          </cell>
          <cell r="K8">
            <v>189219.93412906834</v>
          </cell>
          <cell r="L8">
            <v>219517.57040428068</v>
          </cell>
          <cell r="M8">
            <v>142374.2651866792</v>
          </cell>
          <cell r="N8">
            <v>87524.185547673347</v>
          </cell>
          <cell r="O8">
            <v>48347.9</v>
          </cell>
          <cell r="P8">
            <v>8400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</row>
        <row r="10">
          <cell r="C10" t="str">
            <v>SALDO OPERACIONAL</v>
          </cell>
          <cell r="D10">
            <v>-125800</v>
          </cell>
          <cell r="E10">
            <v>24292.984638889728</v>
          </cell>
          <cell r="F10">
            <v>-151398.53103390604</v>
          </cell>
          <cell r="G10">
            <v>-29908.360320280655</v>
          </cell>
          <cell r="H10">
            <v>261053.61370392249</v>
          </cell>
          <cell r="I10">
            <v>337604.62269473972</v>
          </cell>
          <cell r="J10">
            <v>156272.52558433614</v>
          </cell>
          <cell r="K10">
            <v>10780.065870931663</v>
          </cell>
          <cell r="L10">
            <v>-19517.570404280676</v>
          </cell>
          <cell r="M10">
            <v>57625.7348133208</v>
          </cell>
          <cell r="N10">
            <v>112475.81445232665</v>
          </cell>
          <cell r="O10">
            <v>-48347.9</v>
          </cell>
          <cell r="P10">
            <v>-8400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</row>
        <row r="11">
          <cell r="D11">
            <v>-125800</v>
          </cell>
          <cell r="E11">
            <v>-101507.01536111027</v>
          </cell>
          <cell r="F11">
            <v>-252905.54639501631</v>
          </cell>
          <cell r="G11">
            <v>-282813.90671529697</v>
          </cell>
          <cell r="H11">
            <v>-21760.293011374481</v>
          </cell>
          <cell r="I11">
            <v>315844.32968336524</v>
          </cell>
          <cell r="J11">
            <v>472116.85526770138</v>
          </cell>
          <cell r="K11">
            <v>482896.92113863304</v>
          </cell>
          <cell r="L11">
            <v>463379.35073435237</v>
          </cell>
          <cell r="M11">
            <v>521005.08554767317</v>
          </cell>
          <cell r="N11">
            <v>633480.89999999979</v>
          </cell>
          <cell r="O11">
            <v>585132.99999999977</v>
          </cell>
          <cell r="P11">
            <v>576732.99999999977</v>
          </cell>
          <cell r="Q11">
            <v>576732.99999999977</v>
          </cell>
          <cell r="R11">
            <v>576732.99999999977</v>
          </cell>
          <cell r="S11">
            <v>576732.99999999977</v>
          </cell>
          <cell r="T11">
            <v>576732.99999999977</v>
          </cell>
          <cell r="U11">
            <v>576732.99999999977</v>
          </cell>
        </row>
      </sheetData>
      <sheetData sheetId="17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Natacha Sauer" refreshedDate="44538.466777314818" createdVersion="7" refreshedVersion="7" minRefreshableVersion="3" recordCount="119" xr:uid="{A55F8773-F030-4959-B3F8-C96C849093B7}">
  <cacheSource type="worksheet">
    <worksheetSource ref="A1:O120" sheet="BANCO DE DADOS"/>
  </cacheSource>
  <cacheFields count="20">
    <cacheField name="Código" numFmtId="0">
      <sharedItems containsMixedTypes="1" containsNumber="1" containsInteger="1" minValue="1" maxValue="2"/>
    </cacheField>
    <cacheField name="Nome" numFmtId="0">
      <sharedItems/>
    </cacheField>
    <cacheField name="Macro Etapa" numFmtId="0">
      <sharedItems containsBlank="1" count="2">
        <m/>
        <s v="GERAL"/>
      </sharedItems>
    </cacheField>
    <cacheField name="Rede" numFmtId="0">
      <sharedItems containsBlank="1" count="5">
        <m/>
        <s v="FUNDAÇÃO"/>
        <s v="TIPO"/>
        <s v="COBERTURA"/>
        <s v="FACHADA"/>
      </sharedItems>
    </cacheField>
    <cacheField name="Duração" numFmtId="0">
      <sharedItems/>
    </cacheField>
    <cacheField name="Planej. Inicial" numFmtId="14">
      <sharedItems containsSemiMixedTypes="0" containsNonDate="0" containsDate="1" containsString="0" minDate="2021-11-22T00:00:00" maxDate="2022-09-07T00:00:00"/>
    </cacheField>
    <cacheField name="Planej. Final" numFmtId="14">
      <sharedItems containsSemiMixedTypes="0" containsNonDate="0" containsDate="1" containsString="0" minDate="2021-11-26T00:00:00" maxDate="2022-09-10T00:00:00"/>
    </cacheField>
    <cacheField name="Início" numFmtId="0">
      <sharedItems containsNonDate="0" containsString="0" containsBlank="1"/>
    </cacheField>
    <cacheField name="Fim" numFmtId="0">
      <sharedItems containsNonDate="0" containsString="0" containsBlank="1"/>
    </cacheField>
    <cacheField name="Custo" numFmtId="8">
      <sharedItems containsSemiMixedTypes="0" containsString="0" containsNumber="1" containsInteger="1" minValue="0" maxValue="0"/>
    </cacheField>
    <cacheField name="Custo M.O" numFmtId="8">
      <sharedItems containsSemiMixedTypes="0" containsString="0" containsNumber="1" containsInteger="1" minValue="0" maxValue="0"/>
    </cacheField>
    <cacheField name="Equipe" numFmtId="0">
      <sharedItems containsNonDate="0" containsString="0" containsBlank="1"/>
    </cacheField>
    <cacheField name="Recursos da Equipe" numFmtId="0">
      <sharedItems containsNonDate="0" containsString="0" containsBlank="1"/>
    </cacheField>
    <cacheField name="Progresso do Projeto" numFmtId="9">
      <sharedItems containsSemiMixedTypes="0" containsString="0" containsNumber="1" containsInteger="1" minValue="0" maxValue="0"/>
    </cacheField>
    <cacheField name="QTDE" numFmtId="0">
      <sharedItems containsBlank="1" containsMixedTypes="1" containsNumber="1" minValue="0.25" maxValue="614.55999999999995"/>
    </cacheField>
    <cacheField name="UND" numFmtId="0">
      <sharedItems containsBlank="1"/>
    </cacheField>
    <cacheField name="R$ UNITARIO" numFmtId="44">
      <sharedItems containsString="0" containsBlank="1" containsNumber="1" minValue="6" maxValue="13455.889210118192"/>
    </cacheField>
    <cacheField name="TOTAL" numFmtId="0">
      <sharedItems containsString="0" containsBlank="1" containsNumber="1" minValue="0" maxValue="96852.167818661153"/>
    </cacheField>
    <cacheField name="SEM.INICIO" numFmtId="0">
      <sharedItems containsSemiMixedTypes="0" containsString="0" containsNumber="1" containsInteger="1" minValue="1" maxValue="42"/>
    </cacheField>
    <cacheField name="SEM.FM" numFmtId="0">
      <sharedItems containsSemiMixedTypes="0" containsString="0" containsNumber="1" containsInteger="1" minValue="1" maxValue="42" count="40">
        <n v="42"/>
        <n v="7"/>
        <n v="1"/>
        <n v="3"/>
        <n v="4"/>
        <n v="5"/>
        <n v="39"/>
        <n v="8"/>
        <n v="9"/>
        <n v="14"/>
        <n v="16"/>
        <n v="19"/>
        <n v="20"/>
        <n v="22"/>
        <n v="24"/>
        <n v="27"/>
        <n v="28"/>
        <n v="30"/>
        <n v="31"/>
        <n v="32"/>
        <n v="34"/>
        <n v="35"/>
        <n v="36"/>
        <n v="38"/>
        <n v="40"/>
        <n v="10"/>
        <n v="11"/>
        <n v="15"/>
        <n v="17"/>
        <n v="21"/>
        <n v="23"/>
        <n v="25"/>
        <n v="29"/>
        <n v="33"/>
        <n v="37"/>
        <n v="41"/>
        <n v="12"/>
        <n v="13"/>
        <n v="18"/>
        <n v="26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Natacha Sauer" refreshedDate="44538.546720023151" createdVersion="7" refreshedVersion="7" minRefreshableVersion="3" recordCount="119" xr:uid="{856886C8-B2DF-4FB5-A96A-1FAA402CC755}">
  <cacheSource type="worksheet">
    <worksheetSource ref="A1:U120" sheet="BANCO DE DADOS"/>
  </cacheSource>
  <cacheFields count="25">
    <cacheField name="Código" numFmtId="0">
      <sharedItems containsMixedTypes="1" containsNumber="1" containsInteger="1" minValue="1" maxValue="2"/>
    </cacheField>
    <cacheField name="Nome" numFmtId="0">
      <sharedItems/>
    </cacheField>
    <cacheField name="Macro Etapa" numFmtId="0">
      <sharedItems containsBlank="1"/>
    </cacheField>
    <cacheField name="Rede" numFmtId="0">
      <sharedItems containsBlank="1" count="5">
        <m/>
        <s v="FUNDAÇÃO"/>
        <s v="TIPO"/>
        <s v="COBERTURA"/>
        <s v="FACHADA"/>
      </sharedItems>
    </cacheField>
    <cacheField name="Duração" numFmtId="0">
      <sharedItems/>
    </cacheField>
    <cacheField name="Planej. Inicial" numFmtId="14">
      <sharedItems containsSemiMixedTypes="0" containsNonDate="0" containsDate="1" containsString="0" minDate="2021-11-22T00:00:00" maxDate="2022-09-07T00:00:00"/>
    </cacheField>
    <cacheField name="Planej. Final" numFmtId="14">
      <sharedItems containsSemiMixedTypes="0" containsNonDate="0" containsDate="1" containsString="0" minDate="2021-11-26T00:00:00" maxDate="2022-09-10T00:00:00"/>
    </cacheField>
    <cacheField name="Início" numFmtId="0">
      <sharedItems containsNonDate="0" containsString="0" containsBlank="1"/>
    </cacheField>
    <cacheField name="Fim" numFmtId="0">
      <sharedItems containsNonDate="0" containsString="0" containsBlank="1"/>
    </cacheField>
    <cacheField name="QTDE" numFmtId="0">
      <sharedItems containsBlank="1" containsMixedTypes="1" containsNumber="1" minValue="0.25" maxValue="614.55999999999995"/>
    </cacheField>
    <cacheField name="UND" numFmtId="0">
      <sharedItems containsBlank="1"/>
    </cacheField>
    <cacheField name="R$ UNITARIO" numFmtId="44">
      <sharedItems containsString="0" containsBlank="1" containsNumber="1" minValue="6" maxValue="13455.889210118192"/>
    </cacheField>
    <cacheField name="TOTAL" numFmtId="0">
      <sharedItems containsString="0" containsBlank="1" containsNumber="1" minValue="0" maxValue="96852.167818661153"/>
    </cacheField>
    <cacheField name="SEM.INICIO" numFmtId="0">
      <sharedItems containsSemiMixedTypes="0" containsString="0" containsNumber="1" containsInteger="1" minValue="1" maxValue="42"/>
    </cacheField>
    <cacheField name="SEM.FM" numFmtId="0">
      <sharedItems containsSemiMixedTypes="0" containsString="0" containsNumber="1" containsInteger="1" minValue="1" maxValue="42"/>
    </cacheField>
    <cacheField name="% MATERIAL" numFmtId="9">
      <sharedItems containsString="0" containsBlank="1" containsNumber="1" minValue="0.13858702989570013" maxValue="1"/>
    </cacheField>
    <cacheField name="% MÃO DE OBRA" numFmtId="9">
      <sharedItems containsString="0" containsBlank="1" containsNumber="1" minValue="0" maxValue="0.86141297010429985"/>
    </cacheField>
    <cacheField name="R$ MAT" numFmtId="0">
      <sharedItems containsString="0" containsBlank="1" containsNumber="1" minValue="0" maxValue="27119.661751006275"/>
    </cacheField>
    <cacheField name="R$ MO" numFmtId="0">
      <sharedItems containsString="0" containsBlank="1" containsNumber="1" minValue="0" maxValue="83429.71354171299"/>
    </cacheField>
    <cacheField name="MAT -15 DIAS" numFmtId="0">
      <sharedItems containsNonDate="0" containsDate="1" containsString="0" containsBlank="1" minDate="2021-11-07T00:00:00" maxDate="2022-08-23T00:00:00" count="56">
        <m/>
        <d v="2021-11-07T00:00:00"/>
        <d v="2021-11-14T00:00:00"/>
        <d v="2021-11-28T00:00:00"/>
        <d v="2021-12-05T00:00:00"/>
        <d v="2021-12-12T00:00:00"/>
        <d v="2021-12-20T00:00:00"/>
        <d v="2021-12-27T00:00:00"/>
        <d v="2022-01-31T00:00:00"/>
        <d v="2022-02-14T00:00:00"/>
        <d v="2022-03-14T00:00:00"/>
        <d v="2022-03-16T00:00:00"/>
        <d v="2022-03-30T00:00:00"/>
        <d v="2022-04-13T00:00:00"/>
        <d v="2022-05-04T00:00:00"/>
        <d v="2022-05-11T00:00:00"/>
        <d v="2022-05-25T00:00:00"/>
        <d v="2022-06-01T00:00:00"/>
        <d v="2022-06-08T00:00:00"/>
        <d v="2022-06-27T00:00:00"/>
        <d v="2022-06-29T00:00:00"/>
        <d v="2022-07-04T00:00:00"/>
        <d v="2022-07-20T00:00:00"/>
        <d v="2022-07-25T00:00:00"/>
        <d v="2022-08-01T00:00:00"/>
        <d v="2022-01-03T00:00:00"/>
        <d v="2022-01-10T00:00:00"/>
        <d v="2022-02-07T00:00:00"/>
        <d v="2022-02-21T00:00:00"/>
        <d v="2022-03-23T00:00:00"/>
        <d v="2022-04-06T00:00:00"/>
        <d v="2022-04-20T00:00:00"/>
        <d v="2022-05-18T00:00:00"/>
        <d v="2022-06-15T00:00:00"/>
        <d v="2022-07-11T00:00:00"/>
        <d v="2022-08-08T00:00:00"/>
        <d v="2022-01-17T00:00:00"/>
        <d v="2022-01-24T00:00:00"/>
        <d v="2022-02-28T00:00:00"/>
        <d v="2022-03-21T00:00:00"/>
        <d v="2022-04-27T00:00:00"/>
        <d v="2022-06-22T00:00:00"/>
        <d v="2022-07-06T00:00:00"/>
        <d v="2022-07-18T00:00:00"/>
        <d v="2022-07-27T00:00:00"/>
        <d v="2022-08-15T00:00:00"/>
        <d v="2022-03-07T00:00:00"/>
        <d v="2022-08-22T00:00:00"/>
        <d v="2022-04-04T00:00:00"/>
        <d v="2022-05-19T00:00:00"/>
        <d v="2022-05-26T00:00:00"/>
        <d v="2022-06-02T00:00:00"/>
        <d v="2022-06-09T00:00:00"/>
        <d v="2022-06-16T00:00:00"/>
        <d v="2022-03-28T00:00:00"/>
        <d v="2022-06-23T00:00:00"/>
      </sharedItems>
      <fieldGroup par="22" base="19">
        <rangePr groupBy="months" startDate="2021-11-07T00:00:00" endDate="2022-08-23T00:00:00"/>
        <groupItems count="14">
          <s v="(vazio)"/>
          <s v="jan"/>
          <s v="fev"/>
          <s v="mar"/>
          <s v="abr"/>
          <s v="mai"/>
          <s v="jun"/>
          <s v="jul"/>
          <s v="ago"/>
          <s v="set"/>
          <s v="out"/>
          <s v="nov"/>
          <s v="dez"/>
          <s v="&gt;23/08/2022"/>
        </groupItems>
      </fieldGroup>
    </cacheField>
    <cacheField name="MO + 15 DIAS" numFmtId="0">
      <sharedItems containsNonDate="0" containsDate="1" containsString="0" containsBlank="1" minDate="2021-12-11T00:00:00" maxDate="2022-09-25T00:00:00" count="57">
        <m/>
        <d v="2021-12-11T00:00:00"/>
        <d v="2021-12-25T00:00:00"/>
        <d v="2022-01-01T00:00:00"/>
        <d v="2022-01-08T00:00:00"/>
        <d v="2022-01-18T00:00:00"/>
        <d v="2022-09-02T00:00:00"/>
        <d v="2022-01-25T00:00:00"/>
        <d v="2022-02-01T00:00:00"/>
        <d v="2022-03-08T00:00:00"/>
        <d v="2022-03-22T00:00:00"/>
        <d v="2022-04-15T00:00:00"/>
        <d v="2022-04-22T00:00:00"/>
        <d v="2022-05-06T00:00:00"/>
        <d v="2022-05-20T00:00:00"/>
        <d v="2022-06-10T00:00:00"/>
        <d v="2022-06-17T00:00:00"/>
        <d v="2022-07-01T00:00:00"/>
        <d v="2022-07-05T00:00:00"/>
        <d v="2022-07-08T00:00:00"/>
        <d v="2022-07-15T00:00:00"/>
        <d v="2022-07-29T00:00:00"/>
        <d v="2022-08-02T00:00:00"/>
        <d v="2022-08-09T00:00:00"/>
        <d v="2022-08-23T00:00:00"/>
        <d v="2022-08-30T00:00:00"/>
        <d v="2022-09-09T00:00:00"/>
        <d v="2022-02-08T00:00:00"/>
        <d v="2022-02-15T00:00:00"/>
        <d v="2022-03-15T00:00:00"/>
        <d v="2022-03-29T00:00:00"/>
        <d v="2022-04-19T00:00:00"/>
        <d v="2022-04-29T00:00:00"/>
        <d v="2022-05-13T00:00:00"/>
        <d v="2022-05-27T00:00:00"/>
        <d v="2022-06-24T00:00:00"/>
        <d v="2022-07-12T00:00:00"/>
        <d v="2022-07-22T00:00:00"/>
        <d v="2022-08-05T00:00:00"/>
        <d v="2022-08-16T00:00:00"/>
        <d v="2022-08-26T00:00:00"/>
        <d v="2022-09-06T00:00:00"/>
        <d v="2022-09-16T00:00:00"/>
        <d v="2022-02-22T00:00:00"/>
        <d v="2022-03-01T00:00:00"/>
        <d v="2022-04-05T00:00:00"/>
        <d v="2022-06-03T00:00:00"/>
        <d v="2022-07-19T00:00:00"/>
        <d v="2022-09-13T00:00:00"/>
        <d v="2022-09-24T00:00:00"/>
        <d v="2022-04-12T00:00:00"/>
        <d v="2022-04-26T00:00:00"/>
        <d v="2022-07-26T00:00:00"/>
        <d v="2022-08-12T00:00:00"/>
        <d v="2022-09-20T00:00:00"/>
        <d v="2022-05-10T00:00:00"/>
        <d v="2022-05-03T00:00:00"/>
      </sharedItems>
      <fieldGroup par="24" base="20">
        <rangePr groupBy="months" startDate="2021-12-11T00:00:00" endDate="2022-09-25T00:00:00"/>
        <groupItems count="14">
          <s v="(vazio)"/>
          <s v="jan"/>
          <s v="fev"/>
          <s v="mar"/>
          <s v="abr"/>
          <s v="mai"/>
          <s v="jun"/>
          <s v="jul"/>
          <s v="ago"/>
          <s v="set"/>
          <s v="out"/>
          <s v="nov"/>
          <s v="dez"/>
          <s v="&gt;25/09/2022"/>
        </groupItems>
      </fieldGroup>
    </cacheField>
    <cacheField name="Trimestres" numFmtId="0" databaseField="0">
      <fieldGroup base="19">
        <rangePr groupBy="quarters" startDate="2021-11-07T00:00:00" endDate="2022-08-23T00:00:00"/>
        <groupItems count="6">
          <s v="&lt;07/11/2021"/>
          <s v="Trim1"/>
          <s v="Trim2"/>
          <s v="Trim3"/>
          <s v="Trim4"/>
          <s v="&gt;23/08/2022"/>
        </groupItems>
      </fieldGroup>
    </cacheField>
    <cacheField name="Anos" numFmtId="0" databaseField="0">
      <fieldGroup base="19">
        <rangePr groupBy="years" startDate="2021-11-07T00:00:00" endDate="2022-08-23T00:00:00"/>
        <groupItems count="4">
          <s v="&lt;07/11/2021"/>
          <s v="2021"/>
          <s v="2022"/>
          <s v="&gt;23/08/2022"/>
        </groupItems>
      </fieldGroup>
    </cacheField>
    <cacheField name="Trimestres2" numFmtId="0" databaseField="0">
      <fieldGroup base="20">
        <rangePr groupBy="quarters" startDate="2021-12-11T00:00:00" endDate="2022-09-25T00:00:00"/>
        <groupItems count="6">
          <s v="&lt;11/12/2021"/>
          <s v="Trim1"/>
          <s v="Trim2"/>
          <s v="Trim3"/>
          <s v="Trim4"/>
          <s v="&gt;25/09/2022"/>
        </groupItems>
      </fieldGroup>
    </cacheField>
    <cacheField name="Anos2" numFmtId="0" databaseField="0">
      <fieldGroup base="20">
        <rangePr groupBy="years" startDate="2021-12-11T00:00:00" endDate="2022-09-25T00:00:00"/>
        <groupItems count="4">
          <s v="&lt;11/12/2021"/>
          <s v="2021"/>
          <s v="2022"/>
          <s v="&gt;25/09/2022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9">
  <r>
    <n v="1"/>
    <s v="ESTRUTURA/ACABAMENTO"/>
    <x v="0"/>
    <x v="0"/>
    <s v="207.50 dias"/>
    <d v="2021-11-22T00:00:00"/>
    <d v="2022-09-09T00:00:00"/>
    <m/>
    <m/>
    <n v="0"/>
    <n v="0"/>
    <m/>
    <m/>
    <n v="0"/>
    <s v=" "/>
    <m/>
    <m/>
    <m/>
    <n v="1"/>
    <x v="0"/>
  </r>
  <r>
    <s v="1.1"/>
    <s v="FUND"/>
    <x v="0"/>
    <x v="0"/>
    <s v="30.00 dias"/>
    <d v="2021-11-22T00:00:00"/>
    <d v="2022-01-03T00:00:00"/>
    <m/>
    <m/>
    <n v="0"/>
    <n v="0"/>
    <m/>
    <m/>
    <n v="0"/>
    <s v=" "/>
    <m/>
    <m/>
    <m/>
    <n v="1"/>
    <x v="1"/>
  </r>
  <r>
    <s v="1.1.0.1"/>
    <s v="Locação e Gabarito"/>
    <x v="0"/>
    <x v="1"/>
    <s v="5.00 dias"/>
    <d v="2021-11-22T00:00:00"/>
    <d v="2021-11-26T00:00:00"/>
    <m/>
    <m/>
    <n v="0"/>
    <n v="0"/>
    <m/>
    <m/>
    <n v="0"/>
    <n v="74.739999999999995"/>
    <s v="m²"/>
    <n v="36.400132810000002"/>
    <n v="2720.5459262193999"/>
    <n v="1"/>
    <x v="2"/>
  </r>
  <r>
    <s v="1.1.0.2"/>
    <s v="Estacas"/>
    <x v="0"/>
    <x v="1"/>
    <s v="10.00 dias"/>
    <d v="2021-11-29T00:00:00"/>
    <d v="2021-12-10T00:00:00"/>
    <m/>
    <m/>
    <n v="0"/>
    <n v="0"/>
    <m/>
    <m/>
    <n v="0"/>
    <n v="14.82"/>
    <s v="m³"/>
    <n v="2317.9512940424352"/>
    <n v="34352.038177708891"/>
    <n v="2"/>
    <x v="3"/>
  </r>
  <r>
    <s v="1.1.0.3"/>
    <s v="Vigas Baldrames"/>
    <x v="0"/>
    <x v="1"/>
    <s v="5.00 dias"/>
    <d v="2021-12-13T00:00:00"/>
    <d v="2021-12-17T00:00:00"/>
    <m/>
    <m/>
    <n v="0"/>
    <n v="0"/>
    <m/>
    <m/>
    <n v="0"/>
    <n v="18.11"/>
    <s v="m³"/>
    <n v="3866.9904848461024"/>
    <n v="70031.197680562909"/>
    <n v="4"/>
    <x v="4"/>
  </r>
  <r>
    <s v="1.1.0.4"/>
    <s v="Instalações Enterradas"/>
    <x v="0"/>
    <x v="1"/>
    <s v="5.00 dias"/>
    <d v="2021-12-20T00:00:00"/>
    <d v="2021-12-24T00:00:00"/>
    <m/>
    <m/>
    <n v="0"/>
    <n v="0"/>
    <m/>
    <m/>
    <n v="0"/>
    <n v="1"/>
    <s v="torre"/>
    <n v="350"/>
    <n v="350"/>
    <n v="5"/>
    <x v="5"/>
  </r>
  <r>
    <s v="1.1.0.5"/>
    <s v="Contrapiso"/>
    <x v="0"/>
    <x v="1"/>
    <s v="5.00 dias"/>
    <d v="2021-12-27T00:00:00"/>
    <d v="2022-01-03T00:00:00"/>
    <m/>
    <m/>
    <n v="0"/>
    <n v="0"/>
    <m/>
    <m/>
    <n v="0"/>
    <n v="224.41"/>
    <s v="m²"/>
    <n v="155.57182168692589"/>
    <n v="34911.872504763036"/>
    <n v="6"/>
    <x v="1"/>
  </r>
  <r>
    <s v="1.2"/>
    <s v="PAV1"/>
    <x v="0"/>
    <x v="0"/>
    <s v="162.50 dias"/>
    <d v="2022-01-04T00:00:00"/>
    <d v="2022-08-18T00:00:00"/>
    <m/>
    <m/>
    <n v="0"/>
    <n v="0"/>
    <m/>
    <m/>
    <n v="0"/>
    <s v=" "/>
    <m/>
    <m/>
    <m/>
    <n v="7"/>
    <x v="6"/>
  </r>
  <r>
    <s v="1.2.5.3"/>
    <s v="Alvenaria Estrutural"/>
    <x v="0"/>
    <x v="2"/>
    <s v="5.00 dias"/>
    <d v="2022-01-04T00:00:00"/>
    <d v="2022-01-10T00:00:00"/>
    <m/>
    <m/>
    <n v="0"/>
    <n v="0"/>
    <m/>
    <m/>
    <n v="0"/>
    <n v="389.58"/>
    <s v="m²"/>
    <n v="247.89395397660905"/>
    <n v="96574.526590207359"/>
    <n v="7"/>
    <x v="7"/>
  </r>
  <r>
    <s v="1.2.5.4"/>
    <s v="Estrutura Moldado in Loco"/>
    <x v="1"/>
    <x v="2"/>
    <s v="5.00 dias"/>
    <d v="2022-01-11T00:00:00"/>
    <d v="2022-01-17T00:00:00"/>
    <m/>
    <m/>
    <n v="0"/>
    <n v="0"/>
    <m/>
    <m/>
    <n v="0"/>
    <n v="25.44"/>
    <s v="m³"/>
    <n v="2550.8020330415566"/>
    <n v="64892.403720577204"/>
    <n v="8"/>
    <x v="8"/>
  </r>
  <r>
    <s v="1.2.5.5"/>
    <s v="Instalações Hidrossanitárias"/>
    <x v="0"/>
    <x v="2"/>
    <s v="5.00 dias"/>
    <d v="2022-02-15T00:00:00"/>
    <d v="2022-02-21T00:00:00"/>
    <m/>
    <m/>
    <n v="0"/>
    <n v="0"/>
    <m/>
    <m/>
    <n v="0"/>
    <n v="1"/>
    <s v="pvto"/>
    <n v="13455.889210118192"/>
    <n v="13455.889210118192"/>
    <n v="13"/>
    <x v="9"/>
  </r>
  <r>
    <s v="1.2.5.6"/>
    <s v="Reboco Interno"/>
    <x v="0"/>
    <x v="2"/>
    <s v="5.00 dias"/>
    <d v="2022-03-01T00:00:00"/>
    <d v="2022-03-07T00:00:00"/>
    <m/>
    <m/>
    <n v="0"/>
    <n v="0"/>
    <m/>
    <m/>
    <n v="0"/>
    <n v="140.59"/>
    <s v="m²"/>
    <n v="7"/>
    <n v="984.13"/>
    <n v="15"/>
    <x v="10"/>
  </r>
  <r>
    <s v="1.2.5.7"/>
    <s v="Shaft "/>
    <x v="0"/>
    <x v="2"/>
    <s v="2.50 dias"/>
    <d v="2022-03-29T00:00:00"/>
    <d v="2022-03-31T00:00:00"/>
    <m/>
    <m/>
    <n v="0"/>
    <n v="0"/>
    <m/>
    <m/>
    <n v="0"/>
    <n v="10.69"/>
    <s v="m²"/>
    <n v="295.46807160325829"/>
    <n v="3158.5536854388311"/>
    <n v="19"/>
    <x v="11"/>
  </r>
  <r>
    <s v="1.2.5.8"/>
    <s v="Impermeabilização"/>
    <x v="0"/>
    <x v="2"/>
    <s v="5.00 dias"/>
    <d v="2022-03-31T00:00:00"/>
    <d v="2022-04-07T00:00:00"/>
    <m/>
    <m/>
    <n v="0"/>
    <n v="0"/>
    <m/>
    <m/>
    <n v="0"/>
    <n v="6.08"/>
    <s v="m²"/>
    <n v="39.299999999999997"/>
    <n v="238.94399999999999"/>
    <n v="19"/>
    <x v="12"/>
  </r>
  <r>
    <s v="1.2.5.9"/>
    <s v="Cerâmica"/>
    <x v="0"/>
    <x v="2"/>
    <s v="5.00 dias"/>
    <d v="2022-04-14T00:00:00"/>
    <d v="2022-04-21T00:00:00"/>
    <m/>
    <m/>
    <n v="0"/>
    <n v="0"/>
    <m/>
    <m/>
    <n v="0"/>
    <n v="86.26"/>
    <s v="m²"/>
    <n v="236.90944856477213"/>
    <n v="20435.809033197245"/>
    <n v="21"/>
    <x v="13"/>
  </r>
  <r>
    <s v="1.2.5.10"/>
    <s v="Gesso Liso"/>
    <x v="0"/>
    <x v="2"/>
    <s v="5.00 dias"/>
    <d v="2022-04-28T00:00:00"/>
    <d v="2022-05-05T00:00:00"/>
    <m/>
    <m/>
    <n v="0"/>
    <n v="0"/>
    <m/>
    <m/>
    <n v="0"/>
    <n v="447.45"/>
    <s v="m²"/>
    <n v="15.222400000000006"/>
    <n v="6811.262880000002"/>
    <n v="23"/>
    <x v="14"/>
  </r>
  <r>
    <s v="1.2.5.11"/>
    <s v="Esquadria "/>
    <x v="0"/>
    <x v="2"/>
    <s v="5.00 dias"/>
    <d v="2022-05-19T00:00:00"/>
    <d v="2022-05-26T00:00:00"/>
    <m/>
    <m/>
    <n v="0"/>
    <n v="0"/>
    <m/>
    <m/>
    <n v="0"/>
    <n v="21"/>
    <s v="und"/>
    <n v="1261.9047619047619"/>
    <n v="26500"/>
    <n v="26"/>
    <x v="15"/>
  </r>
  <r>
    <s v="1.2.5.12"/>
    <s v="Fiação"/>
    <x v="0"/>
    <x v="2"/>
    <s v="5.00 dias"/>
    <d v="2022-05-26T00:00:00"/>
    <d v="2022-06-02T00:00:00"/>
    <m/>
    <m/>
    <n v="0"/>
    <n v="0"/>
    <m/>
    <m/>
    <n v="0"/>
    <n v="4"/>
    <s v="apto"/>
    <n v="1283.6297966501836"/>
    <n v="5134.5191866007344"/>
    <n v="27"/>
    <x v="16"/>
  </r>
  <r>
    <s v="1.2.5.13"/>
    <s v="Forro"/>
    <x v="0"/>
    <x v="2"/>
    <s v="5.00 dias"/>
    <d v="2022-06-09T00:00:00"/>
    <d v="2022-06-16T00:00:00"/>
    <m/>
    <m/>
    <n v="0"/>
    <n v="0"/>
    <m/>
    <m/>
    <n v="0"/>
    <n v="29.29"/>
    <s v="m²"/>
    <n v="78.445334999999986"/>
    <n v="2297.6638621499997"/>
    <n v="29"/>
    <x v="17"/>
  </r>
  <r>
    <s v="1.2.5.14"/>
    <s v="Disjuntores e CD"/>
    <x v="0"/>
    <x v="2"/>
    <s v="2.50 dias"/>
    <d v="2022-06-16T00:00:00"/>
    <d v="2022-06-20T00:00:00"/>
    <m/>
    <m/>
    <n v="0"/>
    <n v="0"/>
    <m/>
    <m/>
    <n v="0"/>
    <n v="4"/>
    <s v="apto"/>
    <n v="350"/>
    <n v="1400"/>
    <n v="30"/>
    <x v="18"/>
  </r>
  <r>
    <s v="1.2.5.17"/>
    <s v="Rev. da Circulação"/>
    <x v="1"/>
    <x v="2"/>
    <s v="5.00 dias"/>
    <d v="2022-06-16T00:00:00"/>
    <d v="2022-06-23T00:00:00"/>
    <m/>
    <m/>
    <n v="0"/>
    <n v="0"/>
    <m/>
    <m/>
    <n v="0"/>
    <n v="22.5"/>
    <s v="m²"/>
    <n v="160.77478755454416"/>
    <n v="3617.4327199772438"/>
    <n v="30"/>
    <x v="18"/>
  </r>
  <r>
    <s v="1.2.5.16"/>
    <s v="Pintura Interna - 1ªdmão"/>
    <x v="0"/>
    <x v="2"/>
    <s v="5.00 dias"/>
    <d v="2022-06-23T00:00:00"/>
    <d v="2022-06-30T00:00:00"/>
    <m/>
    <m/>
    <n v="0"/>
    <n v="0"/>
    <m/>
    <m/>
    <n v="0"/>
    <n v="476.74"/>
    <s v="m²"/>
    <n v="31.043507801912533"/>
    <n v="14799.681909483781"/>
    <n v="31"/>
    <x v="19"/>
  </r>
  <r>
    <s v="1.2.5.18"/>
    <s v="Louças"/>
    <x v="1"/>
    <x v="2"/>
    <s v="2.50 dias"/>
    <d v="2022-07-12T00:00:00"/>
    <d v="2022-07-14T00:00:00"/>
    <m/>
    <m/>
    <n v="0"/>
    <n v="0"/>
    <m/>
    <m/>
    <n v="0"/>
    <n v="16"/>
    <s v="und"/>
    <n v="327.25146699999999"/>
    <n v="5236.0234719999999"/>
    <n v="34"/>
    <x v="20"/>
  </r>
  <r>
    <s v="1.2.5.19"/>
    <s v="Portas de Madeira"/>
    <x v="1"/>
    <x v="2"/>
    <s v="2.50 dias"/>
    <d v="2022-07-14T00:00:00"/>
    <d v="2022-07-18T00:00:00"/>
    <m/>
    <m/>
    <n v="0"/>
    <n v="0"/>
    <m/>
    <m/>
    <n v="0"/>
    <n v="20"/>
    <s v="und"/>
    <n v="520"/>
    <n v="10400"/>
    <n v="34"/>
    <x v="21"/>
  </r>
  <r>
    <s v="1.2.5.15"/>
    <s v="Piso Laminado + Rodapé"/>
    <x v="0"/>
    <x v="2"/>
    <s v="5.00 dias"/>
    <d v="2022-07-19T00:00:00"/>
    <d v="2022-07-25T00:00:00"/>
    <m/>
    <m/>
    <n v="0"/>
    <n v="0"/>
    <m/>
    <m/>
    <n v="0"/>
    <n v="80.88"/>
    <s v="m²"/>
    <n v="162.85785630043145"/>
    <n v="13171.943417578896"/>
    <n v="35"/>
    <x v="22"/>
  </r>
  <r>
    <s v="1.2.5.20"/>
    <s v="Metais"/>
    <x v="0"/>
    <x v="2"/>
    <s v="2.50 dias"/>
    <d v="2022-08-04T00:00:00"/>
    <d v="2022-08-08T00:00:00"/>
    <m/>
    <m/>
    <n v="0"/>
    <n v="0"/>
    <m/>
    <m/>
    <n v="0"/>
    <n v="12"/>
    <s v="und"/>
    <n v="111.67"/>
    <n v="1340.04"/>
    <n v="37"/>
    <x v="23"/>
  </r>
  <r>
    <s v="1.2.5.21"/>
    <s v="Acabamentos Elétricos"/>
    <x v="0"/>
    <x v="2"/>
    <s v="2.50 dias"/>
    <d v="2022-08-04T00:00:00"/>
    <d v="2022-08-08T00:00:00"/>
    <m/>
    <m/>
    <n v="0"/>
    <n v="0"/>
    <m/>
    <m/>
    <n v="0"/>
    <n v="4"/>
    <s v="apto"/>
    <n v="513.50426281564182"/>
    <n v="2054.0170512625673"/>
    <n v="37"/>
    <x v="23"/>
  </r>
  <r>
    <s v="1.2.5.22"/>
    <s v="Pintura Final"/>
    <x v="0"/>
    <x v="2"/>
    <s v="5.00 dias"/>
    <d v="2022-08-09T00:00:00"/>
    <d v="2022-08-15T00:00:00"/>
    <m/>
    <m/>
    <n v="0"/>
    <n v="0"/>
    <m/>
    <m/>
    <n v="0"/>
    <n v="614.55999999999995"/>
    <s v="m²"/>
    <n v="6"/>
    <n v="3687.3599999999997"/>
    <n v="38"/>
    <x v="6"/>
  </r>
  <r>
    <s v="1.2.5.23"/>
    <s v="Complementação e Limpeza"/>
    <x v="0"/>
    <x v="2"/>
    <s v="2.50 dias"/>
    <d v="2022-08-16T00:00:00"/>
    <d v="2022-08-18T00:00:00"/>
    <m/>
    <m/>
    <n v="0"/>
    <n v="0"/>
    <m/>
    <m/>
    <n v="0"/>
    <n v="0.25"/>
    <s v="torre"/>
    <n v="2000"/>
    <n v="500"/>
    <n v="39"/>
    <x v="6"/>
  </r>
  <r>
    <s v="1.3"/>
    <s v="PAV2"/>
    <x v="0"/>
    <x v="0"/>
    <s v="157.50 dias"/>
    <d v="2022-01-18T00:00:00"/>
    <d v="2022-08-25T00:00:00"/>
    <m/>
    <m/>
    <n v="0"/>
    <n v="0"/>
    <m/>
    <m/>
    <n v="0"/>
    <m/>
    <m/>
    <m/>
    <m/>
    <n v="9"/>
    <x v="24"/>
  </r>
  <r>
    <s v="1.3.5.3"/>
    <s v="Alvenaria Estrutural"/>
    <x v="0"/>
    <x v="2"/>
    <s v="5.00 dias"/>
    <d v="2022-01-18T00:00:00"/>
    <d v="2022-01-24T00:00:00"/>
    <m/>
    <m/>
    <n v="0"/>
    <n v="0"/>
    <m/>
    <m/>
    <n v="0"/>
    <n v="390.7"/>
    <s v="m²"/>
    <n v="247.89395397660905"/>
    <n v="96852.167818661153"/>
    <n v="9"/>
    <x v="25"/>
  </r>
  <r>
    <s v="1.3.5.4"/>
    <s v="Estrutura Moldado in Loco"/>
    <x v="1"/>
    <x v="2"/>
    <s v="5.00 dias"/>
    <d v="2022-01-25T00:00:00"/>
    <d v="2022-01-31T00:00:00"/>
    <m/>
    <m/>
    <n v="0"/>
    <n v="0"/>
    <m/>
    <m/>
    <n v="0"/>
    <n v="25.44"/>
    <s v="m³"/>
    <n v="2550.8020330415566"/>
    <n v="64892.403720577204"/>
    <n v="10"/>
    <x v="26"/>
  </r>
  <r>
    <s v="1.3.5.5"/>
    <s v="Instalações Hidrossanitárias"/>
    <x v="0"/>
    <x v="2"/>
    <s v="5.00 dias"/>
    <d v="2022-02-22T00:00:00"/>
    <d v="2022-02-28T00:00:00"/>
    <m/>
    <m/>
    <n v="0"/>
    <n v="0"/>
    <m/>
    <m/>
    <n v="0"/>
    <n v="1"/>
    <s v="pvto"/>
    <n v="13455.889210118192"/>
    <n v="13455.889210118192"/>
    <n v="14"/>
    <x v="27"/>
  </r>
  <r>
    <s v="1.3.5.6"/>
    <s v="Reboco Interno"/>
    <x v="0"/>
    <x v="2"/>
    <s v="5.00 dias"/>
    <d v="2022-03-08T00:00:00"/>
    <d v="2022-03-14T00:00:00"/>
    <m/>
    <m/>
    <n v="0"/>
    <n v="0"/>
    <m/>
    <m/>
    <n v="0"/>
    <n v="140.59"/>
    <s v="m²"/>
    <n v="7"/>
    <n v="984.13"/>
    <n v="16"/>
    <x v="28"/>
  </r>
  <r>
    <s v="1.3.5.7"/>
    <s v="Shaft "/>
    <x v="0"/>
    <x v="2"/>
    <s v="2.50 dias"/>
    <d v="2022-03-31T00:00:00"/>
    <d v="2022-04-04T00:00:00"/>
    <m/>
    <m/>
    <n v="0"/>
    <n v="0"/>
    <m/>
    <m/>
    <n v="0"/>
    <n v="10.69"/>
    <s v="m²"/>
    <n v="295.46807160325829"/>
    <n v="3158.5536854388311"/>
    <n v="19"/>
    <x v="12"/>
  </r>
  <r>
    <s v="1.3.5.8"/>
    <s v="Impermeabilização"/>
    <x v="0"/>
    <x v="2"/>
    <s v="5.00 dias"/>
    <d v="2022-04-07T00:00:00"/>
    <d v="2022-04-14T00:00:00"/>
    <m/>
    <m/>
    <n v="0"/>
    <n v="0"/>
    <m/>
    <m/>
    <n v="0"/>
    <n v="6.08"/>
    <s v="m²"/>
    <n v="39.299999999999997"/>
    <n v="238.94399999999999"/>
    <n v="20"/>
    <x v="29"/>
  </r>
  <r>
    <s v="1.3.5.9"/>
    <s v="Cerâmica"/>
    <x v="0"/>
    <x v="2"/>
    <s v="5.00 dias"/>
    <d v="2022-04-21T00:00:00"/>
    <d v="2022-04-28T00:00:00"/>
    <m/>
    <m/>
    <n v="0"/>
    <n v="0"/>
    <m/>
    <m/>
    <n v="0"/>
    <n v="86.26"/>
    <s v="m²"/>
    <n v="236.90944856477213"/>
    <n v="20435.809033197245"/>
    <n v="22"/>
    <x v="30"/>
  </r>
  <r>
    <s v="1.3.5.10"/>
    <s v="Gesso Liso"/>
    <x v="0"/>
    <x v="2"/>
    <s v="5.00 dias"/>
    <d v="2022-05-05T00:00:00"/>
    <d v="2022-05-12T00:00:00"/>
    <m/>
    <m/>
    <n v="0"/>
    <n v="0"/>
    <m/>
    <m/>
    <n v="0"/>
    <n v="447.45"/>
    <s v="m²"/>
    <n v="15.222400000000006"/>
    <n v="6811.262880000002"/>
    <n v="24"/>
    <x v="31"/>
  </r>
  <r>
    <s v="1.3.5.11"/>
    <s v="Esquadria "/>
    <x v="0"/>
    <x v="2"/>
    <s v="5.00 dias"/>
    <d v="2022-05-26T00:00:00"/>
    <d v="2022-06-02T00:00:00"/>
    <m/>
    <m/>
    <n v="0"/>
    <n v="0"/>
    <m/>
    <m/>
    <n v="0"/>
    <n v="21"/>
    <s v="und"/>
    <n v="1261.9047619047619"/>
    <n v="26500"/>
    <n v="27"/>
    <x v="16"/>
  </r>
  <r>
    <s v="1.3.5.12"/>
    <s v="Fiação"/>
    <x v="0"/>
    <x v="2"/>
    <s v="5.00 dias"/>
    <d v="2022-06-02T00:00:00"/>
    <d v="2022-06-09T00:00:00"/>
    <m/>
    <m/>
    <n v="0"/>
    <n v="0"/>
    <m/>
    <m/>
    <n v="0"/>
    <n v="4"/>
    <s v="apto"/>
    <n v="1283.6297966501836"/>
    <n v="5134.5191866007344"/>
    <n v="28"/>
    <x v="32"/>
  </r>
  <r>
    <s v="1.3.5.13"/>
    <s v="Forro"/>
    <x v="0"/>
    <x v="2"/>
    <s v="5.00 dias"/>
    <d v="2022-06-16T00:00:00"/>
    <d v="2022-06-23T00:00:00"/>
    <m/>
    <m/>
    <n v="0"/>
    <n v="0"/>
    <m/>
    <m/>
    <n v="0"/>
    <n v="29.29"/>
    <s v="m²"/>
    <n v="78.445334999999986"/>
    <n v="2297.6638621499997"/>
    <n v="30"/>
    <x v="18"/>
  </r>
  <r>
    <s v="1.3.5.14"/>
    <s v="Disjuntores e CD"/>
    <x v="0"/>
    <x v="2"/>
    <s v="2.50 dias"/>
    <d v="2022-06-23T00:00:00"/>
    <d v="2022-06-27T00:00:00"/>
    <m/>
    <m/>
    <n v="0"/>
    <n v="0"/>
    <m/>
    <m/>
    <n v="0"/>
    <n v="4"/>
    <s v="apto"/>
    <n v="350"/>
    <n v="1400"/>
    <n v="31"/>
    <x v="19"/>
  </r>
  <r>
    <s v="1.3.5.17"/>
    <s v="Rev. da Circulação"/>
    <x v="1"/>
    <x v="2"/>
    <s v="5.00 dias"/>
    <d v="2022-06-23T00:00:00"/>
    <d v="2022-06-30T00:00:00"/>
    <m/>
    <m/>
    <n v="0"/>
    <n v="0"/>
    <m/>
    <m/>
    <n v="0"/>
    <n v="22.5"/>
    <s v="m²"/>
    <n v="160.77478755454416"/>
    <n v="3617.4327199772438"/>
    <n v="31"/>
    <x v="19"/>
  </r>
  <r>
    <s v="1.3.5.16"/>
    <s v="Pintura Interna - 1ªdmão"/>
    <x v="0"/>
    <x v="2"/>
    <s v="5.00 dias"/>
    <d v="2022-06-30T00:00:00"/>
    <d v="2022-07-07T00:00:00"/>
    <m/>
    <m/>
    <n v="0"/>
    <n v="0"/>
    <m/>
    <m/>
    <n v="0"/>
    <n v="476.74"/>
    <s v="m²"/>
    <n v="31.043507801912533"/>
    <n v="14799.681909483781"/>
    <n v="32"/>
    <x v="33"/>
  </r>
  <r>
    <s v="1.3.5.18"/>
    <s v="Louças"/>
    <x v="1"/>
    <x v="2"/>
    <s v="2.50 dias"/>
    <d v="2022-07-14T00:00:00"/>
    <d v="2022-07-18T00:00:00"/>
    <m/>
    <m/>
    <n v="0"/>
    <n v="0"/>
    <m/>
    <m/>
    <n v="0"/>
    <n v="16"/>
    <s v="und"/>
    <n v="327.25146699999999"/>
    <n v="5236.0234719999999"/>
    <n v="34"/>
    <x v="21"/>
  </r>
  <r>
    <s v="1.3.5.19"/>
    <s v="Portas de Madeira"/>
    <x v="1"/>
    <x v="2"/>
    <s v="2.50 dias"/>
    <d v="2022-07-19T00:00:00"/>
    <d v="2022-07-21T00:00:00"/>
    <m/>
    <m/>
    <n v="0"/>
    <n v="0"/>
    <m/>
    <m/>
    <n v="0"/>
    <n v="20"/>
    <s v="und"/>
    <n v="520"/>
    <n v="10400"/>
    <n v="35"/>
    <x v="21"/>
  </r>
  <r>
    <s v="1.3.5.15"/>
    <s v="Piso Laminado + Rodapé"/>
    <x v="0"/>
    <x v="2"/>
    <s v="5.00 dias"/>
    <d v="2022-07-26T00:00:00"/>
    <d v="2022-08-01T00:00:00"/>
    <m/>
    <m/>
    <n v="0"/>
    <n v="0"/>
    <m/>
    <m/>
    <n v="0"/>
    <n v="80.88"/>
    <s v="m²"/>
    <n v="162.85785630043145"/>
    <n v="13171.943417578896"/>
    <n v="36"/>
    <x v="34"/>
  </r>
  <r>
    <s v="1.3.5.20"/>
    <s v="Metais"/>
    <x v="0"/>
    <x v="2"/>
    <s v="2.50 dias"/>
    <d v="2022-08-09T00:00:00"/>
    <d v="2022-08-11T00:00:00"/>
    <m/>
    <m/>
    <n v="0"/>
    <n v="0"/>
    <m/>
    <m/>
    <n v="0"/>
    <n v="12"/>
    <s v="und"/>
    <n v="111.67"/>
    <n v="1340.04"/>
    <n v="38"/>
    <x v="23"/>
  </r>
  <r>
    <s v="1.3.5.21"/>
    <s v="Acabamentos Elétricos"/>
    <x v="0"/>
    <x v="2"/>
    <s v="2.50 dias"/>
    <d v="2022-08-09T00:00:00"/>
    <d v="2022-08-11T00:00:00"/>
    <m/>
    <m/>
    <n v="0"/>
    <n v="0"/>
    <m/>
    <m/>
    <n v="0"/>
    <n v="4"/>
    <s v="apto"/>
    <n v="513.50426281564182"/>
    <n v="2054.0170512625673"/>
    <n v="38"/>
    <x v="23"/>
  </r>
  <r>
    <s v="1.3.5.22"/>
    <s v="Pintura Final"/>
    <x v="0"/>
    <x v="2"/>
    <s v="5.00 dias"/>
    <d v="2022-08-16T00:00:00"/>
    <d v="2022-08-22T00:00:00"/>
    <m/>
    <m/>
    <n v="0"/>
    <n v="0"/>
    <m/>
    <m/>
    <n v="0"/>
    <n v="614.55999999999995"/>
    <s v="m²"/>
    <n v="6"/>
    <n v="3687.3599999999997"/>
    <n v="39"/>
    <x v="24"/>
  </r>
  <r>
    <s v="1.3.5.23"/>
    <s v="Complementação e Limpeza"/>
    <x v="0"/>
    <x v="2"/>
    <s v="2.50 dias"/>
    <d v="2022-08-23T00:00:00"/>
    <d v="2022-08-25T00:00:00"/>
    <m/>
    <m/>
    <n v="0"/>
    <n v="0"/>
    <m/>
    <m/>
    <n v="0"/>
    <n v="0.25"/>
    <s v="torre"/>
    <n v="2000"/>
    <n v="500"/>
    <n v="40"/>
    <x v="24"/>
  </r>
  <r>
    <s v="1.4"/>
    <s v="PAV3"/>
    <x v="0"/>
    <x v="0"/>
    <s v="152.50 dias"/>
    <d v="2022-02-01T00:00:00"/>
    <d v="2022-09-01T00:00:00"/>
    <m/>
    <m/>
    <n v="0"/>
    <n v="0"/>
    <m/>
    <m/>
    <n v="0"/>
    <s v=" "/>
    <m/>
    <m/>
    <m/>
    <n v="11"/>
    <x v="35"/>
  </r>
  <r>
    <s v="1.4.5.3"/>
    <s v="Alvenaria Estrutural"/>
    <x v="0"/>
    <x v="2"/>
    <s v="5.00 dias"/>
    <d v="2022-02-01T00:00:00"/>
    <d v="2022-02-07T00:00:00"/>
    <m/>
    <m/>
    <n v="0"/>
    <n v="0"/>
    <m/>
    <m/>
    <n v="0"/>
    <n v="390.7"/>
    <s v="m²"/>
    <n v="247.89395397660905"/>
    <n v="96852.167818661153"/>
    <n v="11"/>
    <x v="36"/>
  </r>
  <r>
    <s v="1.4.5.4"/>
    <s v="Estrutura Moldado in Loco"/>
    <x v="1"/>
    <x v="2"/>
    <s v="5.00 dias"/>
    <d v="2022-02-08T00:00:00"/>
    <d v="2022-02-14T00:00:00"/>
    <m/>
    <m/>
    <n v="0"/>
    <n v="0"/>
    <m/>
    <m/>
    <n v="0"/>
    <n v="25.44"/>
    <s v="m³"/>
    <n v="2550.8020330415566"/>
    <n v="64892.403720577204"/>
    <n v="12"/>
    <x v="37"/>
  </r>
  <r>
    <s v="1.4.5.5"/>
    <s v="Instalações Hidrossanitárias"/>
    <x v="0"/>
    <x v="2"/>
    <s v="5.00 dias"/>
    <d v="2022-03-01T00:00:00"/>
    <d v="2022-03-07T00:00:00"/>
    <m/>
    <m/>
    <n v="0"/>
    <n v="0"/>
    <m/>
    <m/>
    <n v="0"/>
    <n v="1"/>
    <s v="pvto"/>
    <n v="13455.889210118192"/>
    <n v="13455.889210118192"/>
    <n v="15"/>
    <x v="10"/>
  </r>
  <r>
    <s v="1.4.5.6"/>
    <s v="Reboco Interno"/>
    <x v="0"/>
    <x v="2"/>
    <s v="5.00 dias"/>
    <d v="2022-03-15T00:00:00"/>
    <d v="2022-03-21T00:00:00"/>
    <m/>
    <m/>
    <n v="0"/>
    <n v="0"/>
    <m/>
    <m/>
    <n v="0"/>
    <n v="140.59"/>
    <s v="m²"/>
    <n v="7"/>
    <n v="984.13"/>
    <n v="17"/>
    <x v="38"/>
  </r>
  <r>
    <s v="1.4.5.7"/>
    <s v="Shaft "/>
    <x v="0"/>
    <x v="2"/>
    <s v="2.50 dias"/>
    <d v="2022-04-05T00:00:00"/>
    <d v="2022-04-07T00:00:00"/>
    <m/>
    <m/>
    <n v="0"/>
    <n v="0"/>
    <m/>
    <m/>
    <n v="0"/>
    <n v="10.69"/>
    <s v="m²"/>
    <n v="295.46807160325829"/>
    <n v="3158.5536854388311"/>
    <n v="20"/>
    <x v="12"/>
  </r>
  <r>
    <s v="1.4.5.8"/>
    <s v="Impermeabilização"/>
    <x v="0"/>
    <x v="2"/>
    <s v="5.00 dias"/>
    <d v="2022-04-14T00:00:00"/>
    <d v="2022-04-21T00:00:00"/>
    <m/>
    <m/>
    <n v="0"/>
    <n v="0"/>
    <m/>
    <m/>
    <n v="0"/>
    <n v="6.08"/>
    <s v="m²"/>
    <n v="39.299999999999997"/>
    <n v="238.94399999999999"/>
    <n v="21"/>
    <x v="13"/>
  </r>
  <r>
    <s v="1.4.5.9"/>
    <s v="Cerâmica"/>
    <x v="0"/>
    <x v="2"/>
    <s v="5.00 dias"/>
    <d v="2022-04-28T00:00:00"/>
    <d v="2022-05-05T00:00:00"/>
    <m/>
    <m/>
    <n v="0"/>
    <n v="0"/>
    <m/>
    <m/>
    <n v="0"/>
    <n v="86.26"/>
    <s v="m²"/>
    <n v="236.90944856477213"/>
    <n v="20435.809033197245"/>
    <n v="23"/>
    <x v="14"/>
  </r>
  <r>
    <s v="1.4.5.10"/>
    <s v="Gesso Liso"/>
    <x v="0"/>
    <x v="2"/>
    <s v="5.00 dias"/>
    <d v="2022-05-12T00:00:00"/>
    <d v="2022-05-19T00:00:00"/>
    <m/>
    <m/>
    <n v="0"/>
    <n v="0"/>
    <m/>
    <m/>
    <n v="0"/>
    <n v="447.45"/>
    <s v="m²"/>
    <n v="15.222400000000006"/>
    <n v="6811.262880000002"/>
    <n v="25"/>
    <x v="39"/>
  </r>
  <r>
    <s v="1.4.5.11"/>
    <s v="Esquadria "/>
    <x v="0"/>
    <x v="2"/>
    <s v="5.00 dias"/>
    <d v="2022-06-02T00:00:00"/>
    <d v="2022-06-09T00:00:00"/>
    <m/>
    <m/>
    <n v="0"/>
    <n v="0"/>
    <m/>
    <m/>
    <n v="0"/>
    <n v="21"/>
    <s v="und"/>
    <n v="1261.9047619047619"/>
    <n v="26500"/>
    <n v="28"/>
    <x v="32"/>
  </r>
  <r>
    <s v="1.4.5.12"/>
    <s v="Fiação"/>
    <x v="0"/>
    <x v="2"/>
    <s v="5.00 dias"/>
    <d v="2022-06-09T00:00:00"/>
    <d v="2022-06-16T00:00:00"/>
    <m/>
    <m/>
    <n v="0"/>
    <n v="0"/>
    <m/>
    <m/>
    <n v="0"/>
    <n v="4"/>
    <s v="apto"/>
    <n v="1283.6297966501836"/>
    <n v="5134.5191866007344"/>
    <n v="29"/>
    <x v="17"/>
  </r>
  <r>
    <s v="1.4.5.13"/>
    <s v="Forro"/>
    <x v="0"/>
    <x v="2"/>
    <s v="5.00 dias"/>
    <d v="2022-06-23T00:00:00"/>
    <d v="2022-06-30T00:00:00"/>
    <m/>
    <m/>
    <n v="0"/>
    <n v="0"/>
    <m/>
    <m/>
    <n v="0"/>
    <n v="29.29"/>
    <s v="m²"/>
    <n v="78.445334999999986"/>
    <n v="2297.6638621499997"/>
    <n v="31"/>
    <x v="19"/>
  </r>
  <r>
    <s v="1.4.5.14"/>
    <s v="Disjuntores e CD"/>
    <x v="0"/>
    <x v="2"/>
    <s v="2.50 dias"/>
    <d v="2022-06-30T00:00:00"/>
    <d v="2022-07-04T00:00:00"/>
    <m/>
    <m/>
    <n v="0"/>
    <n v="0"/>
    <m/>
    <m/>
    <n v="0"/>
    <n v="4"/>
    <s v="apto"/>
    <n v="350"/>
    <n v="1400"/>
    <n v="32"/>
    <x v="33"/>
  </r>
  <r>
    <s v="1.4.5.17"/>
    <s v="Rev. da Circulação"/>
    <x v="1"/>
    <x v="2"/>
    <s v="5.00 dias"/>
    <d v="2022-06-30T00:00:00"/>
    <d v="2022-07-07T00:00:00"/>
    <m/>
    <m/>
    <n v="0"/>
    <n v="0"/>
    <m/>
    <m/>
    <n v="0"/>
    <n v="22.5"/>
    <s v="m²"/>
    <n v="160.77478755454416"/>
    <n v="3617.4327199772438"/>
    <n v="32"/>
    <x v="33"/>
  </r>
  <r>
    <s v="1.4.5.16"/>
    <s v="Pintura Interna - 1ªdmão"/>
    <x v="0"/>
    <x v="2"/>
    <s v="5.00 dias"/>
    <d v="2022-07-07T00:00:00"/>
    <d v="2022-07-14T00:00:00"/>
    <m/>
    <m/>
    <n v="0"/>
    <n v="0"/>
    <m/>
    <m/>
    <n v="0"/>
    <n v="476.74"/>
    <s v="m²"/>
    <n v="31.043507801912533"/>
    <n v="14799.681909483781"/>
    <n v="33"/>
    <x v="20"/>
  </r>
  <r>
    <s v="1.4.5.18"/>
    <s v="Louças"/>
    <x v="1"/>
    <x v="2"/>
    <s v="2.50 dias"/>
    <d v="2022-07-19T00:00:00"/>
    <d v="2022-07-21T00:00:00"/>
    <m/>
    <m/>
    <n v="0"/>
    <n v="0"/>
    <m/>
    <m/>
    <n v="0"/>
    <n v="16"/>
    <s v="und"/>
    <n v="327.25146699999999"/>
    <n v="5236.0234719999999"/>
    <n v="35"/>
    <x v="21"/>
  </r>
  <r>
    <s v="1.4.5.19"/>
    <s v="Portas de Madeira"/>
    <x v="1"/>
    <x v="2"/>
    <s v="2.50 dias"/>
    <d v="2022-07-21T00:00:00"/>
    <d v="2022-07-25T00:00:00"/>
    <m/>
    <m/>
    <n v="0"/>
    <n v="0"/>
    <m/>
    <m/>
    <n v="0"/>
    <n v="20"/>
    <s v="und"/>
    <n v="520"/>
    <n v="10400"/>
    <n v="35"/>
    <x v="22"/>
  </r>
  <r>
    <s v="1.4.5.15"/>
    <s v="Piso Laminado + Rodapé"/>
    <x v="0"/>
    <x v="2"/>
    <s v="5.00 dias"/>
    <d v="2022-08-02T00:00:00"/>
    <d v="2022-08-08T00:00:00"/>
    <m/>
    <m/>
    <n v="0"/>
    <n v="0"/>
    <m/>
    <m/>
    <n v="0"/>
    <n v="80.88"/>
    <s v="m²"/>
    <n v="162.85785630043145"/>
    <n v="13171.943417578896"/>
    <n v="37"/>
    <x v="23"/>
  </r>
  <r>
    <s v="1.4.5.20"/>
    <s v="Metais"/>
    <x v="0"/>
    <x v="2"/>
    <s v="2.50 dias"/>
    <d v="2022-08-11T00:00:00"/>
    <d v="2022-08-15T00:00:00"/>
    <m/>
    <m/>
    <n v="0"/>
    <n v="0"/>
    <m/>
    <m/>
    <n v="0"/>
    <n v="12"/>
    <s v="und"/>
    <n v="111.67"/>
    <n v="1340.04"/>
    <n v="38"/>
    <x v="6"/>
  </r>
  <r>
    <s v="1.4.5.21"/>
    <s v="Acabamentos Elétricos"/>
    <x v="0"/>
    <x v="2"/>
    <s v="2.50 dias"/>
    <d v="2022-08-11T00:00:00"/>
    <d v="2022-08-15T00:00:00"/>
    <m/>
    <m/>
    <n v="0"/>
    <n v="0"/>
    <m/>
    <m/>
    <n v="0"/>
    <n v="4"/>
    <s v="apto"/>
    <n v="513.50426281564182"/>
    <n v="2054.0170512625673"/>
    <n v="38"/>
    <x v="6"/>
  </r>
  <r>
    <s v="1.4.5.22"/>
    <s v="Pintura Final"/>
    <x v="0"/>
    <x v="2"/>
    <s v="5.00 dias"/>
    <d v="2022-08-23T00:00:00"/>
    <d v="2022-08-29T00:00:00"/>
    <m/>
    <m/>
    <n v="0"/>
    <n v="0"/>
    <m/>
    <m/>
    <n v="0"/>
    <n v="614.55999999999995"/>
    <s v="m²"/>
    <n v="6"/>
    <n v="3687.3599999999997"/>
    <n v="40"/>
    <x v="35"/>
  </r>
  <r>
    <s v="1.4.5.23"/>
    <s v="Complementação e Limpeza"/>
    <x v="0"/>
    <x v="2"/>
    <s v="2.50 dias"/>
    <d v="2022-08-30T00:00:00"/>
    <d v="2022-09-01T00:00:00"/>
    <m/>
    <m/>
    <n v="0"/>
    <n v="0"/>
    <m/>
    <m/>
    <n v="0"/>
    <n v="0.25"/>
    <s v="torre"/>
    <n v="2000"/>
    <n v="500"/>
    <n v="41"/>
    <x v="35"/>
  </r>
  <r>
    <s v="1.5"/>
    <s v="PAV4"/>
    <x v="0"/>
    <x v="0"/>
    <s v="147.50 dias"/>
    <d v="2022-02-15T00:00:00"/>
    <d v="2022-09-09T00:00:00"/>
    <m/>
    <m/>
    <n v="0"/>
    <n v="0"/>
    <m/>
    <m/>
    <n v="0"/>
    <s v=" "/>
    <m/>
    <m/>
    <m/>
    <n v="13"/>
    <x v="0"/>
  </r>
  <r>
    <s v="1.5.5.3"/>
    <s v="Alvenaria Estrutural"/>
    <x v="0"/>
    <x v="2"/>
    <s v="5.00 dias"/>
    <d v="2022-02-15T00:00:00"/>
    <d v="2022-02-21T00:00:00"/>
    <m/>
    <m/>
    <n v="0"/>
    <n v="0"/>
    <m/>
    <m/>
    <n v="0"/>
    <n v="390.7"/>
    <s v="m²"/>
    <n v="247.89395397660905"/>
    <n v="96852.167818661153"/>
    <n v="13"/>
    <x v="9"/>
  </r>
  <r>
    <s v="1.5.5.4"/>
    <s v="Estrutura Moldado in Loco"/>
    <x v="1"/>
    <x v="2"/>
    <s v="5.00 dias"/>
    <d v="2022-02-22T00:00:00"/>
    <d v="2022-02-28T00:00:00"/>
    <m/>
    <m/>
    <n v="0"/>
    <n v="0"/>
    <m/>
    <m/>
    <n v="0"/>
    <n v="26.73"/>
    <s v="m³"/>
    <n v="2550.8020330415566"/>
    <n v="68182.938343200804"/>
    <n v="14"/>
    <x v="27"/>
  </r>
  <r>
    <s v="1.5.5.5"/>
    <s v="Instalações Hidrossanitárias"/>
    <x v="0"/>
    <x v="2"/>
    <s v="5.00 dias"/>
    <d v="2022-03-08T00:00:00"/>
    <d v="2022-03-14T00:00:00"/>
    <m/>
    <m/>
    <n v="0"/>
    <n v="0"/>
    <m/>
    <m/>
    <n v="0"/>
    <n v="1"/>
    <s v="pvto"/>
    <n v="13455.889210118192"/>
    <n v="13455.889210118192"/>
    <n v="16"/>
    <x v="28"/>
  </r>
  <r>
    <s v="1.5.5.6"/>
    <s v="Reboco Interno"/>
    <x v="0"/>
    <x v="2"/>
    <s v="5.00 dias"/>
    <d v="2022-03-22T00:00:00"/>
    <d v="2022-03-28T00:00:00"/>
    <m/>
    <m/>
    <n v="0"/>
    <n v="0"/>
    <m/>
    <m/>
    <n v="0"/>
    <n v="140.59"/>
    <s v="m²"/>
    <n v="7"/>
    <n v="984.13"/>
    <n v="18"/>
    <x v="11"/>
  </r>
  <r>
    <s v="1.5.5.7"/>
    <s v="Shaft "/>
    <x v="0"/>
    <x v="2"/>
    <s v="2.50 dias"/>
    <d v="2022-04-07T00:00:00"/>
    <d v="2022-04-11T00:00:00"/>
    <m/>
    <m/>
    <n v="0"/>
    <n v="0"/>
    <m/>
    <m/>
    <n v="0"/>
    <n v="10.69"/>
    <s v="m²"/>
    <n v="295.46807160325829"/>
    <n v="3158.5536854388311"/>
    <n v="20"/>
    <x v="29"/>
  </r>
  <r>
    <s v="1.5.5.8"/>
    <s v="Impermeabilização"/>
    <x v="0"/>
    <x v="2"/>
    <s v="5.00 dias"/>
    <d v="2022-04-21T00:00:00"/>
    <d v="2022-04-28T00:00:00"/>
    <m/>
    <m/>
    <n v="0"/>
    <n v="0"/>
    <m/>
    <m/>
    <n v="0"/>
    <n v="6.08"/>
    <s v="m²"/>
    <n v="39.299999999999997"/>
    <n v="238.94399999999999"/>
    <n v="22"/>
    <x v="30"/>
  </r>
  <r>
    <s v="1.5.5.9"/>
    <s v="Cerâmica"/>
    <x v="0"/>
    <x v="2"/>
    <s v="5.00 dias"/>
    <d v="2022-05-05T00:00:00"/>
    <d v="2022-05-12T00:00:00"/>
    <m/>
    <m/>
    <n v="0"/>
    <n v="0"/>
    <m/>
    <m/>
    <n v="0"/>
    <n v="86.26"/>
    <s v="m²"/>
    <n v="236.90944856477213"/>
    <n v="20435.809033197245"/>
    <n v="24"/>
    <x v="31"/>
  </r>
  <r>
    <s v="1.5.5.10"/>
    <s v="Gesso Liso"/>
    <x v="0"/>
    <x v="2"/>
    <s v="5.00 dias"/>
    <d v="2022-05-19T00:00:00"/>
    <d v="2022-05-26T00:00:00"/>
    <m/>
    <m/>
    <n v="0"/>
    <n v="0"/>
    <m/>
    <m/>
    <n v="0"/>
    <n v="447.45"/>
    <s v="m²"/>
    <n v="15.222400000000006"/>
    <n v="6811.262880000002"/>
    <n v="26"/>
    <x v="15"/>
  </r>
  <r>
    <s v="1.5.5.11"/>
    <s v="Esquadria "/>
    <x v="0"/>
    <x v="2"/>
    <s v="5.00 dias"/>
    <d v="2022-06-09T00:00:00"/>
    <d v="2022-06-16T00:00:00"/>
    <m/>
    <m/>
    <n v="0"/>
    <n v="0"/>
    <m/>
    <m/>
    <n v="0"/>
    <n v="21"/>
    <s v="und"/>
    <n v="1261.9047619047619"/>
    <n v="26500"/>
    <n v="29"/>
    <x v="17"/>
  </r>
  <r>
    <s v="1.5.5.12"/>
    <s v="Fiação"/>
    <x v="0"/>
    <x v="2"/>
    <s v="5.00 dias"/>
    <d v="2022-06-16T00:00:00"/>
    <d v="2022-06-23T00:00:00"/>
    <m/>
    <m/>
    <n v="0"/>
    <n v="0"/>
    <m/>
    <m/>
    <n v="0"/>
    <n v="4"/>
    <s v="apto"/>
    <n v="1283.6297966501836"/>
    <n v="5134.5191866007344"/>
    <n v="30"/>
    <x v="18"/>
  </r>
  <r>
    <s v="1.5.5.13"/>
    <s v="Forro"/>
    <x v="0"/>
    <x v="2"/>
    <s v="5.00 dias"/>
    <d v="2022-06-30T00:00:00"/>
    <d v="2022-07-07T00:00:00"/>
    <m/>
    <m/>
    <n v="0"/>
    <n v="0"/>
    <m/>
    <m/>
    <n v="0"/>
    <n v="29.29"/>
    <s v="m²"/>
    <n v="78.445334999999986"/>
    <n v="2297.6638621499997"/>
    <n v="32"/>
    <x v="33"/>
  </r>
  <r>
    <s v="1.5.5.14"/>
    <s v="Disjuntores e CD"/>
    <x v="0"/>
    <x v="2"/>
    <s v="2.50 dias"/>
    <d v="2022-07-07T00:00:00"/>
    <d v="2022-07-11T00:00:00"/>
    <m/>
    <m/>
    <n v="0"/>
    <n v="0"/>
    <m/>
    <m/>
    <n v="0"/>
    <n v="4"/>
    <s v="apto"/>
    <n v="350"/>
    <n v="1400"/>
    <n v="33"/>
    <x v="20"/>
  </r>
  <r>
    <s v="1.5.5.17"/>
    <s v="Rev. da Circulação"/>
    <x v="1"/>
    <x v="2"/>
    <s v="5.00 dias"/>
    <d v="2022-07-07T00:00:00"/>
    <d v="2022-07-14T00:00:00"/>
    <m/>
    <m/>
    <n v="0"/>
    <n v="0"/>
    <m/>
    <m/>
    <n v="0"/>
    <n v="22.5"/>
    <s v="m²"/>
    <n v="160.77478755454416"/>
    <n v="3617.4327199772438"/>
    <n v="33"/>
    <x v="20"/>
  </r>
  <r>
    <s v="1.5.5.16"/>
    <s v="Pintura Interna - 1ªdmão"/>
    <x v="0"/>
    <x v="2"/>
    <s v="5.00 dias"/>
    <d v="2022-07-14T00:00:00"/>
    <d v="2022-07-21T00:00:00"/>
    <m/>
    <m/>
    <n v="0"/>
    <n v="0"/>
    <m/>
    <m/>
    <n v="0"/>
    <n v="476.74"/>
    <s v="m²"/>
    <n v="31.043507801912533"/>
    <n v="14799.681909483781"/>
    <n v="34"/>
    <x v="21"/>
  </r>
  <r>
    <s v="1.5.5.18"/>
    <s v="Louças"/>
    <x v="1"/>
    <x v="2"/>
    <s v="2.50 dias"/>
    <d v="2022-07-21T00:00:00"/>
    <d v="2022-07-25T00:00:00"/>
    <m/>
    <m/>
    <n v="0"/>
    <n v="0"/>
    <m/>
    <m/>
    <n v="0"/>
    <n v="16"/>
    <s v="und"/>
    <n v="327.25146699999999"/>
    <n v="5236.0234719999999"/>
    <n v="35"/>
    <x v="22"/>
  </r>
  <r>
    <s v="1.5.5.19"/>
    <s v="Portas de Madeira"/>
    <x v="1"/>
    <x v="2"/>
    <s v="2.50 dias"/>
    <d v="2022-07-26T00:00:00"/>
    <d v="2022-07-28T00:00:00"/>
    <m/>
    <m/>
    <n v="0"/>
    <n v="0"/>
    <m/>
    <m/>
    <n v="0"/>
    <n v="20"/>
    <s v="und"/>
    <n v="520"/>
    <n v="10400"/>
    <n v="36"/>
    <x v="22"/>
  </r>
  <r>
    <s v="1.5.5.15"/>
    <s v="Piso Laminado + Rodapé"/>
    <x v="0"/>
    <x v="2"/>
    <s v="5.00 dias"/>
    <d v="2022-08-09T00:00:00"/>
    <d v="2022-08-15T00:00:00"/>
    <m/>
    <m/>
    <n v="0"/>
    <n v="0"/>
    <m/>
    <m/>
    <n v="0"/>
    <n v="80.88"/>
    <s v="m²"/>
    <n v="162.85785630043145"/>
    <n v="13171.943417578896"/>
    <n v="38"/>
    <x v="6"/>
  </r>
  <r>
    <s v="1.5.5.20"/>
    <s v="Metais"/>
    <x v="0"/>
    <x v="2"/>
    <s v="2.50 dias"/>
    <d v="2022-08-16T00:00:00"/>
    <d v="2022-08-18T00:00:00"/>
    <m/>
    <m/>
    <n v="0"/>
    <n v="0"/>
    <m/>
    <m/>
    <n v="0"/>
    <n v="12"/>
    <s v="und"/>
    <n v="111.67"/>
    <n v="1340.04"/>
    <n v="39"/>
    <x v="6"/>
  </r>
  <r>
    <s v="1.5.5.21"/>
    <s v="Acabamentos Elétricos"/>
    <x v="0"/>
    <x v="2"/>
    <s v="2.50 dias"/>
    <d v="2022-08-16T00:00:00"/>
    <d v="2022-08-18T00:00:00"/>
    <m/>
    <m/>
    <n v="0"/>
    <n v="0"/>
    <m/>
    <m/>
    <n v="0"/>
    <n v="4"/>
    <s v="apto"/>
    <n v="513.50426281564182"/>
    <n v="2054.0170512625673"/>
    <n v="39"/>
    <x v="6"/>
  </r>
  <r>
    <s v="1.5.5.22"/>
    <s v="Pintura Final"/>
    <x v="0"/>
    <x v="2"/>
    <s v="5.00 dias"/>
    <d v="2022-08-30T00:00:00"/>
    <d v="2022-09-05T00:00:00"/>
    <m/>
    <m/>
    <n v="0"/>
    <n v="0"/>
    <m/>
    <m/>
    <n v="0"/>
    <n v="614.55999999999995"/>
    <s v="m²"/>
    <n v="6"/>
    <n v="3687.3599999999997"/>
    <n v="41"/>
    <x v="0"/>
  </r>
  <r>
    <s v="1.5.5.23"/>
    <s v="Complementação e Limpeza"/>
    <x v="0"/>
    <x v="2"/>
    <s v="2.50 dias"/>
    <d v="2022-09-06T00:00:00"/>
    <d v="2022-09-09T00:00:00"/>
    <m/>
    <m/>
    <n v="0"/>
    <n v="0"/>
    <m/>
    <m/>
    <n v="0"/>
    <n v="0.25"/>
    <s v="torre"/>
    <n v="2000"/>
    <n v="500"/>
    <n v="42"/>
    <x v="0"/>
  </r>
  <r>
    <s v="1.6"/>
    <s v="COB"/>
    <x v="0"/>
    <x v="0"/>
    <s v="40.00 dias"/>
    <d v="2022-03-01T00:00:00"/>
    <d v="2022-04-25T00:00:00"/>
    <m/>
    <m/>
    <n v="0"/>
    <n v="0"/>
    <m/>
    <m/>
    <n v="0"/>
    <s v=" "/>
    <m/>
    <m/>
    <m/>
    <n v="15"/>
    <x v="30"/>
  </r>
  <r>
    <s v="1.6.6.1"/>
    <s v="Alvenaria Estrutural"/>
    <x v="0"/>
    <x v="3"/>
    <s v="5.00 dias"/>
    <d v="2022-03-01T00:00:00"/>
    <d v="2022-03-07T00:00:00"/>
    <m/>
    <m/>
    <n v="0"/>
    <n v="0"/>
    <m/>
    <m/>
    <n v="0"/>
    <n v="81.7"/>
    <s v="m²"/>
    <n v="247.89395397660905"/>
    <n v="20252.936039888962"/>
    <n v="15"/>
    <x v="10"/>
  </r>
  <r>
    <s v="1.6.6.2"/>
    <s v="Instalações Hidrossanitárias"/>
    <x v="0"/>
    <x v="3"/>
    <s v="5.00 dias"/>
    <d v="2022-03-15T00:00:00"/>
    <d v="2022-03-21T00:00:00"/>
    <m/>
    <m/>
    <n v="0"/>
    <n v="0"/>
    <m/>
    <m/>
    <n v="0"/>
    <m/>
    <m/>
    <n v="13455.889210118192"/>
    <n v="0"/>
    <n v="17"/>
    <x v="38"/>
  </r>
  <r>
    <s v="1.6.6.4"/>
    <s v="Telhado"/>
    <x v="0"/>
    <x v="3"/>
    <s v="5.00 dias"/>
    <d v="2022-03-22T00:00:00"/>
    <d v="2022-03-28T00:00:00"/>
    <m/>
    <m/>
    <n v="0"/>
    <n v="0"/>
    <m/>
    <m/>
    <n v="0"/>
    <n v="243.7"/>
    <s v="m²"/>
    <n v="209.65947672607118"/>
    <n v="51094.014478143545"/>
    <n v="18"/>
    <x v="11"/>
  </r>
  <r>
    <s v="1.6.6.5"/>
    <s v="Algerosas + Rufos"/>
    <x v="0"/>
    <x v="3"/>
    <s v="5.00 dias"/>
    <d v="2022-04-19T00:00:00"/>
    <d v="2022-04-25T00:00:00"/>
    <m/>
    <m/>
    <n v="0"/>
    <n v="0"/>
    <m/>
    <m/>
    <n v="0"/>
    <n v="75.180000000000007"/>
    <s v="m"/>
    <n v="134.24139437622111"/>
    <n v="10092.268029204304"/>
    <n v="22"/>
    <x v="30"/>
  </r>
  <r>
    <n v="2"/>
    <s v="FACHADA"/>
    <x v="0"/>
    <x v="0"/>
    <s v="93.00 dias"/>
    <d v="2022-03-08T00:00:00"/>
    <d v="2022-07-14T00:00:00"/>
    <m/>
    <m/>
    <n v="0"/>
    <n v="0"/>
    <m/>
    <m/>
    <n v="0"/>
    <s v=" "/>
    <m/>
    <m/>
    <m/>
    <n v="16"/>
    <x v="20"/>
  </r>
  <r>
    <s v="2.1"/>
    <s v="PANO1"/>
    <x v="0"/>
    <x v="0"/>
    <s v="68.00 dias"/>
    <d v="2022-03-08T00:00:00"/>
    <d v="2022-06-09T00:00:00"/>
    <m/>
    <m/>
    <n v="0"/>
    <n v="0"/>
    <m/>
    <m/>
    <n v="0"/>
    <s v=" "/>
    <m/>
    <m/>
    <m/>
    <n v="16"/>
    <x v="32"/>
  </r>
  <r>
    <s v="2.1.7.1"/>
    <s v="Reboco Externo"/>
    <x v="0"/>
    <x v="4"/>
    <s v="5.00 dias"/>
    <d v="2022-03-08T00:00:00"/>
    <d v="2022-03-14T00:00:00"/>
    <m/>
    <m/>
    <n v="0"/>
    <n v="0"/>
    <m/>
    <m/>
    <n v="0"/>
    <n v="126.22"/>
    <s v="m²"/>
    <n v="111.22574674641417"/>
    <n v="14038.913754332398"/>
    <n v="16"/>
    <x v="28"/>
  </r>
  <r>
    <s v="2.1.7.2"/>
    <s v="Pintura Externa "/>
    <x v="0"/>
    <x v="4"/>
    <s v="5.00 dias"/>
    <d v="2022-06-03T00:00:00"/>
    <d v="2022-06-09T00:00:00"/>
    <m/>
    <m/>
    <n v="0"/>
    <n v="0"/>
    <m/>
    <m/>
    <n v="0"/>
    <n v="126.22"/>
    <s v="m²"/>
    <n v="49.707079999999983"/>
    <n v="6274.0276375999974"/>
    <n v="28"/>
    <x v="32"/>
  </r>
  <r>
    <s v="2.2"/>
    <s v="PANO2"/>
    <x v="0"/>
    <x v="0"/>
    <s v="68.00 dias"/>
    <d v="2022-03-15T00:00:00"/>
    <d v="2022-06-16T00:00:00"/>
    <m/>
    <m/>
    <n v="0"/>
    <n v="0"/>
    <m/>
    <m/>
    <n v="0"/>
    <m/>
    <m/>
    <m/>
    <m/>
    <n v="17"/>
    <x v="17"/>
  </r>
  <r>
    <s v="2.2.7.1"/>
    <s v="Reboco Externo"/>
    <x v="0"/>
    <x v="4"/>
    <s v="5.00 dias"/>
    <d v="2022-03-15T00:00:00"/>
    <d v="2022-03-21T00:00:00"/>
    <m/>
    <m/>
    <n v="0"/>
    <n v="0"/>
    <m/>
    <m/>
    <n v="0"/>
    <n v="142.51"/>
    <s v="m²"/>
    <n v="111.22574674641417"/>
    <n v="15850.781168831483"/>
    <n v="17"/>
    <x v="38"/>
  </r>
  <r>
    <s v="2.2.7.2"/>
    <s v="Pintura Externa "/>
    <x v="0"/>
    <x v="4"/>
    <s v="5.00 dias"/>
    <d v="2022-06-10T00:00:00"/>
    <d v="2022-06-16T00:00:00"/>
    <m/>
    <m/>
    <n v="0"/>
    <n v="0"/>
    <m/>
    <m/>
    <n v="0"/>
    <n v="142.51"/>
    <s v="m²"/>
    <n v="49.707079999999983"/>
    <n v="7083.7559707999972"/>
    <n v="29"/>
    <x v="17"/>
  </r>
  <r>
    <s v="2.3"/>
    <s v="PANO3"/>
    <x v="0"/>
    <x v="0"/>
    <s v="68.00 dias"/>
    <d v="2022-03-22T00:00:00"/>
    <d v="2022-06-23T00:00:00"/>
    <m/>
    <m/>
    <n v="0"/>
    <n v="0"/>
    <m/>
    <m/>
    <n v="0"/>
    <m/>
    <m/>
    <m/>
    <m/>
    <n v="18"/>
    <x v="18"/>
  </r>
  <r>
    <s v="2.3.7.1"/>
    <s v="Reboco Externo"/>
    <x v="0"/>
    <x v="4"/>
    <s v="5.00 dias"/>
    <d v="2022-03-22T00:00:00"/>
    <d v="2022-03-28T00:00:00"/>
    <m/>
    <m/>
    <n v="0"/>
    <n v="0"/>
    <m/>
    <m/>
    <n v="0"/>
    <n v="113.41"/>
    <s v="m²"/>
    <n v="111.22574674641417"/>
    <n v="12614.11193851083"/>
    <n v="18"/>
    <x v="11"/>
  </r>
  <r>
    <s v="2.3.7.2"/>
    <s v="Pintura Externa "/>
    <x v="0"/>
    <x v="4"/>
    <s v="5.00 dias"/>
    <d v="2022-06-17T00:00:00"/>
    <d v="2022-06-23T00:00:00"/>
    <m/>
    <m/>
    <n v="0"/>
    <n v="0"/>
    <m/>
    <m/>
    <n v="0"/>
    <n v="113.41"/>
    <s v="m²"/>
    <n v="49.707079999999983"/>
    <n v="5637.279942799998"/>
    <n v="30"/>
    <x v="18"/>
  </r>
  <r>
    <s v="2.4"/>
    <s v="PANO4"/>
    <x v="0"/>
    <x v="0"/>
    <s v="68.00 dias"/>
    <d v="2022-03-29T00:00:00"/>
    <d v="2022-06-30T00:00:00"/>
    <m/>
    <m/>
    <n v="0"/>
    <n v="0"/>
    <m/>
    <m/>
    <n v="0"/>
    <m/>
    <m/>
    <m/>
    <m/>
    <n v="19"/>
    <x v="19"/>
  </r>
  <r>
    <s v="2.4.7.1"/>
    <s v="Reboco Externo"/>
    <x v="0"/>
    <x v="4"/>
    <s v="5.00 dias"/>
    <d v="2022-03-29T00:00:00"/>
    <d v="2022-04-04T00:00:00"/>
    <m/>
    <m/>
    <n v="0"/>
    <n v="0"/>
    <m/>
    <m/>
    <n v="0"/>
    <n v="124.84"/>
    <s v="m²"/>
    <n v="111.22574674641417"/>
    <n v="13885.422223822346"/>
    <n v="19"/>
    <x v="12"/>
  </r>
  <r>
    <s v="2.4.7.2"/>
    <s v="Pintura Externa "/>
    <x v="0"/>
    <x v="4"/>
    <s v="5.00 dias"/>
    <d v="2022-06-24T00:00:00"/>
    <d v="2022-06-30T00:00:00"/>
    <m/>
    <m/>
    <n v="0"/>
    <n v="0"/>
    <m/>
    <m/>
    <n v="0"/>
    <n v="124.84"/>
    <s v="m²"/>
    <n v="49.707079999999983"/>
    <n v="6205.4318671999981"/>
    <n v="31"/>
    <x v="19"/>
  </r>
  <r>
    <s v="2.5"/>
    <s v="PANO5"/>
    <x v="0"/>
    <x v="0"/>
    <s v="68.00 dias"/>
    <d v="2022-04-05T00:00:00"/>
    <d v="2022-07-07T00:00:00"/>
    <m/>
    <m/>
    <n v="0"/>
    <n v="0"/>
    <m/>
    <m/>
    <n v="0"/>
    <m/>
    <m/>
    <m/>
    <m/>
    <n v="20"/>
    <x v="33"/>
  </r>
  <r>
    <s v="2.5.7.1"/>
    <s v="Reboco Externo"/>
    <x v="0"/>
    <x v="4"/>
    <s v="5.00 dias"/>
    <d v="2022-04-05T00:00:00"/>
    <d v="2022-04-11T00:00:00"/>
    <m/>
    <m/>
    <n v="0"/>
    <n v="0"/>
    <m/>
    <m/>
    <n v="0"/>
    <n v="138.44"/>
    <s v="m²"/>
    <n v="111.22574674641417"/>
    <n v="15398.092379573578"/>
    <n v="20"/>
    <x v="29"/>
  </r>
  <r>
    <s v="2.5.7.2"/>
    <s v="Pintura Externa "/>
    <x v="0"/>
    <x v="4"/>
    <s v="5.00 dias"/>
    <d v="2022-07-01T00:00:00"/>
    <d v="2022-07-07T00:00:00"/>
    <m/>
    <m/>
    <n v="0"/>
    <n v="0"/>
    <m/>
    <m/>
    <n v="0"/>
    <n v="138.44"/>
    <s v="m²"/>
    <n v="49.707079999999983"/>
    <n v="6881.4481551999979"/>
    <n v="32"/>
    <x v="33"/>
  </r>
  <r>
    <s v="2.6"/>
    <s v="PANO6"/>
    <x v="0"/>
    <x v="0"/>
    <s v="68.00 dias"/>
    <d v="2022-04-12T00:00:00"/>
    <d v="2022-07-14T00:00:00"/>
    <m/>
    <m/>
    <n v="0"/>
    <n v="0"/>
    <m/>
    <m/>
    <n v="0"/>
    <m/>
    <m/>
    <m/>
    <m/>
    <n v="21"/>
    <x v="20"/>
  </r>
  <r>
    <s v="2.6.7.1"/>
    <s v="Reboco Externo"/>
    <x v="0"/>
    <x v="4"/>
    <s v="5.00 dias"/>
    <d v="2022-04-12T00:00:00"/>
    <d v="2022-04-18T00:00:00"/>
    <m/>
    <m/>
    <n v="0"/>
    <n v="0"/>
    <m/>
    <m/>
    <n v="0"/>
    <n v="99.85"/>
    <s v="m²"/>
    <n v="111.22574674641417"/>
    <n v="11105.890812629455"/>
    <n v="21"/>
    <x v="13"/>
  </r>
  <r>
    <s v="2.6.7.2"/>
    <s v="Pintura Externa "/>
    <x v="0"/>
    <x v="4"/>
    <s v="5.00 dias"/>
    <d v="2022-07-08T00:00:00"/>
    <d v="2022-07-14T00:00:00"/>
    <m/>
    <m/>
    <n v="0"/>
    <n v="0"/>
    <m/>
    <m/>
    <n v="0"/>
    <n v="99.85"/>
    <s v="m²"/>
    <n v="49.707079999999983"/>
    <n v="4963.2519379999985"/>
    <n v="33"/>
    <x v="20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9">
  <r>
    <n v="1"/>
    <s v="ESTRUTURA/ACABAMENTO"/>
    <m/>
    <x v="0"/>
    <s v="207.50 dias"/>
    <d v="2021-11-22T00:00:00"/>
    <d v="2022-09-09T00:00:00"/>
    <m/>
    <m/>
    <s v=" "/>
    <m/>
    <m/>
    <m/>
    <n v="1"/>
    <n v="42"/>
    <m/>
    <m/>
    <m/>
    <m/>
    <x v="0"/>
    <x v="0"/>
  </r>
  <r>
    <s v="1.1"/>
    <s v="FUND"/>
    <m/>
    <x v="0"/>
    <s v="30.00 dias"/>
    <d v="2021-11-22T00:00:00"/>
    <d v="2022-01-03T00:00:00"/>
    <m/>
    <m/>
    <s v=" "/>
    <m/>
    <m/>
    <m/>
    <n v="1"/>
    <n v="7"/>
    <m/>
    <m/>
    <m/>
    <m/>
    <x v="0"/>
    <x v="0"/>
  </r>
  <r>
    <s v="1.1.0.1"/>
    <s v="Locação e Gabarito"/>
    <m/>
    <x v="1"/>
    <s v="5.00 dias"/>
    <d v="2021-11-22T00:00:00"/>
    <d v="2021-11-26T00:00:00"/>
    <m/>
    <m/>
    <n v="74.739999999999995"/>
    <s v="m²"/>
    <n v="36.400132810000002"/>
    <n v="2720.5459262193999"/>
    <n v="1"/>
    <n v="1"/>
    <n v="0.56523337008452779"/>
    <n v="0.43476662991547227"/>
    <n v="1537.7433423467246"/>
    <n v="1182.8025838726755"/>
    <x v="1"/>
    <x v="1"/>
  </r>
  <r>
    <s v="1.1.0.2"/>
    <s v="Estacas"/>
    <m/>
    <x v="1"/>
    <s v="10.00 dias"/>
    <d v="2021-11-29T00:00:00"/>
    <d v="2021-12-10T00:00:00"/>
    <m/>
    <m/>
    <n v="14.82"/>
    <s v="m³"/>
    <n v="2317.9512940424352"/>
    <n v="34352.038177708891"/>
    <n v="2"/>
    <n v="3"/>
    <n v="0.78946296026779217"/>
    <n v="0.21053703973220783"/>
    <n v="27119.661751006275"/>
    <n v="7232.3764267026172"/>
    <x v="2"/>
    <x v="2"/>
  </r>
  <r>
    <s v="1.1.0.3"/>
    <s v="Vigas Baldrames"/>
    <m/>
    <x v="1"/>
    <s v="5.00 dias"/>
    <d v="2021-12-13T00:00:00"/>
    <d v="2021-12-17T00:00:00"/>
    <m/>
    <m/>
    <n v="18.11"/>
    <s v="m³"/>
    <n v="3866.9904848461024"/>
    <n v="70031.197680562909"/>
    <n v="4"/>
    <n v="4"/>
    <n v="0.25730234417382863"/>
    <n v="0.74269765582617142"/>
    <n v="18019.191328509627"/>
    <n v="52012.006352053286"/>
    <x v="3"/>
    <x v="3"/>
  </r>
  <r>
    <s v="1.1.0.4"/>
    <s v="Instalações Enterradas"/>
    <m/>
    <x v="1"/>
    <s v="5.00 dias"/>
    <d v="2021-12-20T00:00:00"/>
    <d v="2021-12-24T00:00:00"/>
    <m/>
    <m/>
    <n v="1"/>
    <s v="torre"/>
    <n v="350"/>
    <n v="350"/>
    <n v="5"/>
    <n v="5"/>
    <n v="1"/>
    <n v="0"/>
    <n v="350"/>
    <n v="0"/>
    <x v="4"/>
    <x v="4"/>
  </r>
  <r>
    <s v="1.1.0.5"/>
    <s v="Contrapiso"/>
    <m/>
    <x v="1"/>
    <s v="5.00 dias"/>
    <d v="2021-12-27T00:00:00"/>
    <d v="2022-01-03T00:00:00"/>
    <m/>
    <m/>
    <n v="224.41"/>
    <s v="m²"/>
    <n v="155.57182168692589"/>
    <n v="34911.872504763036"/>
    <n v="6"/>
    <n v="7"/>
    <n v="0.54167046916318939"/>
    <n v="0.45832953083681055"/>
    <n v="18910.730359020446"/>
    <n v="16001.142145742588"/>
    <x v="5"/>
    <x v="5"/>
  </r>
  <r>
    <s v="1.2"/>
    <s v="PAV1"/>
    <m/>
    <x v="0"/>
    <s v="162.50 dias"/>
    <d v="2022-01-04T00:00:00"/>
    <d v="2022-08-18T00:00:00"/>
    <m/>
    <m/>
    <s v=" "/>
    <m/>
    <m/>
    <m/>
    <n v="7"/>
    <n v="39"/>
    <m/>
    <m/>
    <n v="0"/>
    <n v="0"/>
    <x v="6"/>
    <x v="6"/>
  </r>
  <r>
    <s v="1.2.5.3"/>
    <s v="Alvenaria Estrutural"/>
    <m/>
    <x v="2"/>
    <s v="5.00 dias"/>
    <d v="2022-01-04T00:00:00"/>
    <d v="2022-01-10T00:00:00"/>
    <m/>
    <m/>
    <n v="389.58"/>
    <s v="m²"/>
    <n v="247.89395397660905"/>
    <n v="96574.526590207359"/>
    <n v="7"/>
    <n v="8"/>
    <n v="0.13858702989570013"/>
    <n v="0.86141297010429985"/>
    <n v="13383.976803720154"/>
    <n v="83190.549786487201"/>
    <x v="6"/>
    <x v="7"/>
  </r>
  <r>
    <s v="1.2.5.4"/>
    <s v="Estrutura Moldado in Loco"/>
    <s v="GERAL"/>
    <x v="2"/>
    <s v="5.00 dias"/>
    <d v="2022-01-11T00:00:00"/>
    <d v="2022-01-17T00:00:00"/>
    <m/>
    <m/>
    <n v="25.44"/>
    <s v="m³"/>
    <n v="2550.8020330415566"/>
    <n v="64892.403720577204"/>
    <n v="8"/>
    <n v="9"/>
    <n v="0.38396280966583479"/>
    <n v="0.61603719033416515"/>
    <n v="24916.269658522495"/>
    <n v="39976.134062054705"/>
    <x v="7"/>
    <x v="8"/>
  </r>
  <r>
    <s v="1.2.5.5"/>
    <s v="Instalações Hidrossanitárias"/>
    <m/>
    <x v="2"/>
    <s v="5.00 dias"/>
    <d v="2022-02-15T00:00:00"/>
    <d v="2022-02-21T00:00:00"/>
    <m/>
    <m/>
    <n v="1"/>
    <s v="pvto"/>
    <n v="13455.889210118192"/>
    <n v="13455.889210118192"/>
    <n v="13"/>
    <n v="14"/>
    <n v="0.35672482024413354"/>
    <n v="0.64327517975586646"/>
    <n v="4800.0496597043884"/>
    <n v="8655.8395504138043"/>
    <x v="8"/>
    <x v="9"/>
  </r>
  <r>
    <s v="1.2.5.6"/>
    <s v="Reboco Interno"/>
    <m/>
    <x v="2"/>
    <s v="5.00 dias"/>
    <d v="2022-03-01T00:00:00"/>
    <d v="2022-03-07T00:00:00"/>
    <m/>
    <m/>
    <n v="140.59"/>
    <s v="m²"/>
    <n v="7"/>
    <n v="984.13"/>
    <n v="15"/>
    <n v="16"/>
    <n v="0.26486813778256191"/>
    <n v="0.73513186221743809"/>
    <n v="260.66468043595268"/>
    <n v="723.46531956404738"/>
    <x v="9"/>
    <x v="10"/>
  </r>
  <r>
    <s v="1.2.5.7"/>
    <s v="Shaft "/>
    <m/>
    <x v="2"/>
    <s v="2.50 dias"/>
    <d v="2022-03-29T00:00:00"/>
    <d v="2022-03-31T00:00:00"/>
    <m/>
    <m/>
    <n v="10.69"/>
    <s v="m²"/>
    <n v="295.46807160325829"/>
    <n v="3158.5536854388311"/>
    <n v="19"/>
    <n v="19"/>
    <n v="0.62478082992402106"/>
    <n v="0.37521917007597894"/>
    <n v="1973.4037929480482"/>
    <n v="1185.1498924907828"/>
    <x v="10"/>
    <x v="11"/>
  </r>
  <r>
    <s v="1.2.5.8"/>
    <s v="Impermeabilização"/>
    <m/>
    <x v="2"/>
    <s v="5.00 dias"/>
    <d v="2022-03-31T00:00:00"/>
    <d v="2022-04-07T00:00:00"/>
    <m/>
    <m/>
    <n v="6.08"/>
    <s v="m²"/>
    <n v="39.299999999999997"/>
    <n v="238.94399999999999"/>
    <n v="19"/>
    <n v="20"/>
    <n v="0.45815899581589958"/>
    <n v="0.54184100418410042"/>
    <n v="109.47434309623431"/>
    <n v="129.4696569037657"/>
    <x v="11"/>
    <x v="12"/>
  </r>
  <r>
    <s v="1.2.5.9"/>
    <s v="Cerâmica"/>
    <m/>
    <x v="2"/>
    <s v="5.00 dias"/>
    <d v="2022-04-14T00:00:00"/>
    <d v="2022-04-21T00:00:00"/>
    <m/>
    <m/>
    <n v="86.26"/>
    <s v="m²"/>
    <n v="236.90944856477213"/>
    <n v="20435.809033197245"/>
    <n v="21"/>
    <n v="22"/>
    <n v="0.57761004134961225"/>
    <n v="0.42238995865038781"/>
    <n v="11803.928500677841"/>
    <n v="8631.8805325194062"/>
    <x v="12"/>
    <x v="13"/>
  </r>
  <r>
    <s v="1.2.5.10"/>
    <s v="Gesso Liso"/>
    <m/>
    <x v="2"/>
    <s v="5.00 dias"/>
    <d v="2022-04-28T00:00:00"/>
    <d v="2022-05-05T00:00:00"/>
    <m/>
    <m/>
    <n v="447.45"/>
    <s v="m²"/>
    <n v="15.222400000000006"/>
    <n v="6811.262880000002"/>
    <n v="23"/>
    <n v="24"/>
    <n v="0.45986419526518629"/>
    <n v="0.54013580473481371"/>
    <n v="3132.2559230508359"/>
    <n v="3679.0069569491661"/>
    <x v="13"/>
    <x v="14"/>
  </r>
  <r>
    <s v="1.2.5.11"/>
    <s v="Esquadria "/>
    <m/>
    <x v="2"/>
    <s v="5.00 dias"/>
    <d v="2022-05-19T00:00:00"/>
    <d v="2022-05-26T00:00:00"/>
    <m/>
    <m/>
    <n v="21"/>
    <s v="und"/>
    <n v="1261.9047619047619"/>
    <n v="26500"/>
    <n v="26"/>
    <n v="27"/>
    <n v="0.19811320754716982"/>
    <n v="0.80188679245283023"/>
    <n v="5250"/>
    <n v="21250"/>
    <x v="14"/>
    <x v="15"/>
  </r>
  <r>
    <s v="1.2.5.12"/>
    <s v="Fiação"/>
    <m/>
    <x v="2"/>
    <s v="5.00 dias"/>
    <d v="2022-05-26T00:00:00"/>
    <d v="2022-06-02T00:00:00"/>
    <m/>
    <m/>
    <n v="4"/>
    <s v="apto"/>
    <n v="1283.6297966501836"/>
    <n v="5134.5191866007344"/>
    <n v="27"/>
    <n v="28"/>
    <n v="0.62323497906319991"/>
    <n v="0.37676502093680009"/>
    <n v="3200.011957760707"/>
    <n v="1934.5072288400274"/>
    <x v="15"/>
    <x v="16"/>
  </r>
  <r>
    <s v="1.2.5.13"/>
    <s v="Forro"/>
    <m/>
    <x v="2"/>
    <s v="5.00 dias"/>
    <d v="2022-06-09T00:00:00"/>
    <d v="2022-06-16T00:00:00"/>
    <m/>
    <m/>
    <n v="29.29"/>
    <s v="m²"/>
    <n v="78.445334999999986"/>
    <n v="2297.6638621499997"/>
    <n v="29"/>
    <n v="30"/>
    <n v="0.31868131868131866"/>
    <n v="0.68131868131868134"/>
    <n v="732.2225494763735"/>
    <n v="1565.4413126736263"/>
    <x v="16"/>
    <x v="17"/>
  </r>
  <r>
    <s v="1.2.5.14"/>
    <s v="Disjuntores e CD"/>
    <m/>
    <x v="2"/>
    <s v="2.50 dias"/>
    <d v="2022-06-16T00:00:00"/>
    <d v="2022-06-20T00:00:00"/>
    <m/>
    <m/>
    <n v="4"/>
    <s v="apto"/>
    <n v="350"/>
    <n v="1400"/>
    <n v="30"/>
    <n v="31"/>
    <n v="1"/>
    <n v="0"/>
    <n v="1400"/>
    <n v="0"/>
    <x v="17"/>
    <x v="18"/>
  </r>
  <r>
    <s v="1.2.5.17"/>
    <s v="Rev. da Circulação"/>
    <s v="GERAL"/>
    <x v="2"/>
    <s v="5.00 dias"/>
    <d v="2022-06-16T00:00:00"/>
    <d v="2022-06-23T00:00:00"/>
    <m/>
    <m/>
    <n v="22.5"/>
    <s v="m²"/>
    <n v="160.77478755454416"/>
    <n v="3617.4327199772438"/>
    <n v="30"/>
    <n v="31"/>
    <n v="0.28742225293711127"/>
    <n v="0.71257774706288879"/>
    <n v="1039.7306622242818"/>
    <n v="2577.7020577529624"/>
    <x v="17"/>
    <x v="19"/>
  </r>
  <r>
    <s v="1.2.5.16"/>
    <s v="Pintura Interna - 1ªdmão"/>
    <m/>
    <x v="2"/>
    <s v="5.00 dias"/>
    <d v="2022-06-23T00:00:00"/>
    <d v="2022-06-30T00:00:00"/>
    <m/>
    <m/>
    <n v="476.74"/>
    <s v="m²"/>
    <n v="31.043507801912533"/>
    <n v="14799.681909483781"/>
    <n v="31"/>
    <n v="32"/>
    <n v="0.52623399439170238"/>
    <n v="0.47376600560829757"/>
    <n v="7788.0957269542669"/>
    <n v="7011.5861825295133"/>
    <x v="18"/>
    <x v="20"/>
  </r>
  <r>
    <s v="1.2.5.18"/>
    <s v="Louças"/>
    <s v="GERAL"/>
    <x v="2"/>
    <s v="2.50 dias"/>
    <d v="2022-07-12T00:00:00"/>
    <d v="2022-07-14T00:00:00"/>
    <m/>
    <m/>
    <n v="16"/>
    <s v="und"/>
    <n v="327.25146699999999"/>
    <n v="5236.0234719999999"/>
    <n v="34"/>
    <n v="34"/>
    <n v="0.15279568352194051"/>
    <n v="0.84720431647805949"/>
    <n v="800.04178534116409"/>
    <n v="4435.9816866588353"/>
    <x v="19"/>
    <x v="21"/>
  </r>
  <r>
    <s v="1.2.5.19"/>
    <s v="Portas de Madeira"/>
    <s v="GERAL"/>
    <x v="2"/>
    <s v="2.50 dias"/>
    <d v="2022-07-14T00:00:00"/>
    <d v="2022-07-18T00:00:00"/>
    <m/>
    <m/>
    <n v="20"/>
    <s v="und"/>
    <n v="520"/>
    <n v="10400"/>
    <n v="34"/>
    <n v="35"/>
    <n v="0.15384615384615385"/>
    <n v="0.84615384615384615"/>
    <n v="1600"/>
    <n v="8800"/>
    <x v="20"/>
    <x v="22"/>
  </r>
  <r>
    <s v="1.2.5.15"/>
    <s v="Piso Laminado + Rodapé"/>
    <m/>
    <x v="2"/>
    <s v="5.00 dias"/>
    <d v="2022-07-19T00:00:00"/>
    <d v="2022-07-25T00:00:00"/>
    <m/>
    <m/>
    <n v="80.88"/>
    <s v="m²"/>
    <n v="162.85785630043145"/>
    <n v="13171.943417578896"/>
    <n v="35"/>
    <n v="36"/>
    <n v="0.15351618107620765"/>
    <n v="0.84648381892379232"/>
    <n v="2022.1064508186032"/>
    <n v="11149.836966760293"/>
    <x v="21"/>
    <x v="23"/>
  </r>
  <r>
    <s v="1.2.5.20"/>
    <s v="Metais"/>
    <m/>
    <x v="2"/>
    <s v="2.50 dias"/>
    <d v="2022-08-04T00:00:00"/>
    <d v="2022-08-08T00:00:00"/>
    <m/>
    <m/>
    <n v="12"/>
    <s v="und"/>
    <n v="111.67"/>
    <n v="1340.04"/>
    <n v="37"/>
    <n v="38"/>
    <n v="0.44776119402985076"/>
    <n v="0.55223880597014929"/>
    <n v="600.01791044776121"/>
    <n v="740.02208955223887"/>
    <x v="22"/>
    <x v="24"/>
  </r>
  <r>
    <s v="1.2.5.21"/>
    <s v="Acabamentos Elétricos"/>
    <m/>
    <x v="2"/>
    <s v="2.50 dias"/>
    <d v="2022-08-04T00:00:00"/>
    <d v="2022-08-08T00:00:00"/>
    <m/>
    <m/>
    <n v="4"/>
    <s v="apto"/>
    <n v="513.50426281564182"/>
    <n v="2054.0170512625673"/>
    <n v="37"/>
    <n v="38"/>
    <n v="0.45"/>
    <n v="0.55000000000000004"/>
    <n v="924.30767306815528"/>
    <n v="1129.709378194412"/>
    <x v="22"/>
    <x v="24"/>
  </r>
  <r>
    <s v="1.2.5.22"/>
    <s v="Pintura Final"/>
    <m/>
    <x v="2"/>
    <s v="5.00 dias"/>
    <d v="2022-08-09T00:00:00"/>
    <d v="2022-08-15T00:00:00"/>
    <m/>
    <m/>
    <n v="614.55999999999995"/>
    <s v="m²"/>
    <n v="6"/>
    <n v="3687.3599999999997"/>
    <n v="38"/>
    <n v="39"/>
    <n v="1"/>
    <n v="0"/>
    <n v="3687.3599999999997"/>
    <n v="0"/>
    <x v="23"/>
    <x v="25"/>
  </r>
  <r>
    <s v="1.2.5.23"/>
    <s v="Complementação e Limpeza"/>
    <m/>
    <x v="2"/>
    <s v="2.50 dias"/>
    <d v="2022-08-16T00:00:00"/>
    <d v="2022-08-18T00:00:00"/>
    <m/>
    <m/>
    <n v="0.25"/>
    <s v="torre"/>
    <n v="2000"/>
    <n v="500"/>
    <n v="39"/>
    <n v="39"/>
    <n v="1"/>
    <n v="0"/>
    <n v="500"/>
    <n v="0"/>
    <x v="24"/>
    <x v="6"/>
  </r>
  <r>
    <s v="1.3"/>
    <s v="PAV2"/>
    <m/>
    <x v="0"/>
    <s v="157.50 dias"/>
    <d v="2022-01-18T00:00:00"/>
    <d v="2022-08-25T00:00:00"/>
    <m/>
    <m/>
    <m/>
    <m/>
    <m/>
    <m/>
    <n v="9"/>
    <n v="40"/>
    <m/>
    <m/>
    <n v="0"/>
    <n v="0"/>
    <x v="25"/>
    <x v="26"/>
  </r>
  <r>
    <s v="1.3.5.3"/>
    <s v="Alvenaria Estrutural"/>
    <m/>
    <x v="2"/>
    <s v="5.00 dias"/>
    <d v="2022-01-18T00:00:00"/>
    <d v="2022-01-24T00:00:00"/>
    <m/>
    <m/>
    <n v="390.7"/>
    <s v="m²"/>
    <n v="247.89395397660905"/>
    <n v="96852.167818661153"/>
    <n v="9"/>
    <n v="10"/>
    <n v="0.13858702989570013"/>
    <n v="0.86141297010429985"/>
    <n v="13422.45427694816"/>
    <n v="83429.71354171299"/>
    <x v="25"/>
    <x v="27"/>
  </r>
  <r>
    <s v="1.3.5.4"/>
    <s v="Estrutura Moldado in Loco"/>
    <s v="GERAL"/>
    <x v="2"/>
    <s v="5.00 dias"/>
    <d v="2022-01-25T00:00:00"/>
    <d v="2022-01-31T00:00:00"/>
    <m/>
    <m/>
    <n v="25.44"/>
    <s v="m³"/>
    <n v="2550.8020330415566"/>
    <n v="64892.403720577204"/>
    <n v="10"/>
    <n v="11"/>
    <n v="0.38396280966583479"/>
    <n v="0.61603719033416515"/>
    <n v="24916.269658522495"/>
    <n v="39976.134062054705"/>
    <x v="26"/>
    <x v="28"/>
  </r>
  <r>
    <s v="1.3.5.5"/>
    <s v="Instalações Hidrossanitárias"/>
    <m/>
    <x v="2"/>
    <s v="5.00 dias"/>
    <d v="2022-02-22T00:00:00"/>
    <d v="2022-02-28T00:00:00"/>
    <m/>
    <m/>
    <n v="1"/>
    <s v="pvto"/>
    <n v="13455.889210118192"/>
    <n v="13455.889210118192"/>
    <n v="14"/>
    <n v="15"/>
    <n v="0.35672482024413354"/>
    <n v="0.64327517975586646"/>
    <n v="4800.0496597043884"/>
    <n v="8655.8395504138043"/>
    <x v="27"/>
    <x v="29"/>
  </r>
  <r>
    <s v="1.3.5.6"/>
    <s v="Reboco Interno"/>
    <m/>
    <x v="2"/>
    <s v="5.00 dias"/>
    <d v="2022-03-08T00:00:00"/>
    <d v="2022-03-14T00:00:00"/>
    <m/>
    <m/>
    <n v="140.59"/>
    <s v="m²"/>
    <n v="7"/>
    <n v="984.13"/>
    <n v="16"/>
    <n v="17"/>
    <n v="0.26486813778256191"/>
    <n v="0.73513186221743809"/>
    <n v="260.66468043595268"/>
    <n v="723.46531956404738"/>
    <x v="28"/>
    <x v="30"/>
  </r>
  <r>
    <s v="1.3.5.7"/>
    <s v="Shaft "/>
    <m/>
    <x v="2"/>
    <s v="2.50 dias"/>
    <d v="2022-03-31T00:00:00"/>
    <d v="2022-04-04T00:00:00"/>
    <m/>
    <m/>
    <n v="10.69"/>
    <s v="m²"/>
    <n v="295.46807160325829"/>
    <n v="3158.5536854388311"/>
    <n v="19"/>
    <n v="20"/>
    <n v="0.62478082992402106"/>
    <n v="0.37521917007597894"/>
    <n v="1973.4037929480482"/>
    <n v="1185.1498924907828"/>
    <x v="11"/>
    <x v="31"/>
  </r>
  <r>
    <s v="1.3.5.8"/>
    <s v="Impermeabilização"/>
    <m/>
    <x v="2"/>
    <s v="5.00 dias"/>
    <d v="2022-04-07T00:00:00"/>
    <d v="2022-04-14T00:00:00"/>
    <m/>
    <m/>
    <n v="6.08"/>
    <s v="m²"/>
    <n v="39.299999999999997"/>
    <n v="238.94399999999999"/>
    <n v="20"/>
    <n v="21"/>
    <n v="0.45815899581589958"/>
    <n v="0.54184100418410042"/>
    <n v="109.47434309623431"/>
    <n v="129.4696569037657"/>
    <x v="29"/>
    <x v="32"/>
  </r>
  <r>
    <s v="1.3.5.9"/>
    <s v="Cerâmica"/>
    <m/>
    <x v="2"/>
    <s v="5.00 dias"/>
    <d v="2022-04-21T00:00:00"/>
    <d v="2022-04-28T00:00:00"/>
    <m/>
    <m/>
    <n v="86.26"/>
    <s v="m²"/>
    <n v="236.90944856477213"/>
    <n v="20435.809033197245"/>
    <n v="22"/>
    <n v="23"/>
    <n v="0.57761004134961225"/>
    <n v="0.42238995865038781"/>
    <n v="11803.928500677841"/>
    <n v="8631.8805325194062"/>
    <x v="30"/>
    <x v="33"/>
  </r>
  <r>
    <s v="1.3.5.10"/>
    <s v="Gesso Liso"/>
    <m/>
    <x v="2"/>
    <s v="5.00 dias"/>
    <d v="2022-05-05T00:00:00"/>
    <d v="2022-05-12T00:00:00"/>
    <m/>
    <m/>
    <n v="447.45"/>
    <s v="m²"/>
    <n v="15.222400000000006"/>
    <n v="6811.262880000002"/>
    <n v="24"/>
    <n v="25"/>
    <n v="0.45986419526518629"/>
    <n v="0.54013580473481371"/>
    <n v="3132.2559230508359"/>
    <n v="3679.0069569491661"/>
    <x v="31"/>
    <x v="34"/>
  </r>
  <r>
    <s v="1.3.5.11"/>
    <s v="Esquadria "/>
    <m/>
    <x v="2"/>
    <s v="5.00 dias"/>
    <d v="2022-05-26T00:00:00"/>
    <d v="2022-06-02T00:00:00"/>
    <m/>
    <m/>
    <n v="21"/>
    <s v="und"/>
    <n v="1261.9047619047619"/>
    <n v="26500"/>
    <n v="27"/>
    <n v="28"/>
    <n v="0.19811320754716982"/>
    <n v="0.80188679245283023"/>
    <n v="5250"/>
    <n v="21250"/>
    <x v="15"/>
    <x v="16"/>
  </r>
  <r>
    <s v="1.3.5.12"/>
    <s v="Fiação"/>
    <m/>
    <x v="2"/>
    <s v="5.00 dias"/>
    <d v="2022-06-02T00:00:00"/>
    <d v="2022-06-09T00:00:00"/>
    <m/>
    <m/>
    <n v="4"/>
    <s v="apto"/>
    <n v="1283.6297966501836"/>
    <n v="5134.5191866007344"/>
    <n v="28"/>
    <n v="29"/>
    <n v="0.62323497906319991"/>
    <n v="0.37676502093680009"/>
    <n v="3200.011957760707"/>
    <n v="1934.5072288400274"/>
    <x v="32"/>
    <x v="35"/>
  </r>
  <r>
    <s v="1.3.5.13"/>
    <s v="Forro"/>
    <m/>
    <x v="2"/>
    <s v="5.00 dias"/>
    <d v="2022-06-16T00:00:00"/>
    <d v="2022-06-23T00:00:00"/>
    <m/>
    <m/>
    <n v="29.29"/>
    <s v="m²"/>
    <n v="78.445334999999986"/>
    <n v="2297.6638621499997"/>
    <n v="30"/>
    <n v="31"/>
    <n v="0.31868131868131866"/>
    <n v="0.68131868131868134"/>
    <n v="732.2225494763735"/>
    <n v="1565.4413126736263"/>
    <x v="17"/>
    <x v="19"/>
  </r>
  <r>
    <s v="1.3.5.14"/>
    <s v="Disjuntores e CD"/>
    <m/>
    <x v="2"/>
    <s v="2.50 dias"/>
    <d v="2022-06-23T00:00:00"/>
    <d v="2022-06-27T00:00:00"/>
    <m/>
    <m/>
    <n v="4"/>
    <s v="apto"/>
    <n v="350"/>
    <n v="1400"/>
    <n v="31"/>
    <n v="32"/>
    <n v="1"/>
    <n v="0"/>
    <n v="1400"/>
    <n v="0"/>
    <x v="18"/>
    <x v="36"/>
  </r>
  <r>
    <s v="1.3.5.17"/>
    <s v="Rev. da Circulação"/>
    <s v="GERAL"/>
    <x v="2"/>
    <s v="5.00 dias"/>
    <d v="2022-06-23T00:00:00"/>
    <d v="2022-06-30T00:00:00"/>
    <m/>
    <m/>
    <n v="22.5"/>
    <s v="m²"/>
    <n v="160.77478755454416"/>
    <n v="3617.4327199772438"/>
    <n v="31"/>
    <n v="32"/>
    <n v="0.28742225293711127"/>
    <n v="0.71257774706288879"/>
    <n v="1039.7306622242818"/>
    <n v="2577.7020577529624"/>
    <x v="18"/>
    <x v="20"/>
  </r>
  <r>
    <s v="1.3.5.16"/>
    <s v="Pintura Interna - 1ªdmão"/>
    <m/>
    <x v="2"/>
    <s v="5.00 dias"/>
    <d v="2022-06-30T00:00:00"/>
    <d v="2022-07-07T00:00:00"/>
    <m/>
    <m/>
    <n v="476.74"/>
    <s v="m²"/>
    <n v="31.043507801912533"/>
    <n v="14799.681909483781"/>
    <n v="32"/>
    <n v="33"/>
    <n v="0.52623399439170238"/>
    <n v="0.47376600560829757"/>
    <n v="7788.0957269542669"/>
    <n v="7011.5861825295133"/>
    <x v="33"/>
    <x v="37"/>
  </r>
  <r>
    <s v="1.3.5.18"/>
    <s v="Louças"/>
    <s v="GERAL"/>
    <x v="2"/>
    <s v="2.50 dias"/>
    <d v="2022-07-14T00:00:00"/>
    <d v="2022-07-18T00:00:00"/>
    <m/>
    <m/>
    <n v="16"/>
    <s v="und"/>
    <n v="327.25146699999999"/>
    <n v="5236.0234719999999"/>
    <n v="34"/>
    <n v="35"/>
    <n v="0.15279568352194051"/>
    <n v="0.84720431647805949"/>
    <n v="800.04178534116409"/>
    <n v="4435.9816866588353"/>
    <x v="20"/>
    <x v="22"/>
  </r>
  <r>
    <s v="1.3.5.19"/>
    <s v="Portas de Madeira"/>
    <s v="GERAL"/>
    <x v="2"/>
    <s v="2.50 dias"/>
    <d v="2022-07-19T00:00:00"/>
    <d v="2022-07-21T00:00:00"/>
    <m/>
    <m/>
    <n v="20"/>
    <s v="und"/>
    <n v="520"/>
    <n v="10400"/>
    <n v="35"/>
    <n v="35"/>
    <n v="0.15384615384615385"/>
    <n v="0.84615384615384615"/>
    <n v="1600"/>
    <n v="8800"/>
    <x v="21"/>
    <x v="38"/>
  </r>
  <r>
    <s v="1.3.5.15"/>
    <s v="Piso Laminado + Rodapé"/>
    <m/>
    <x v="2"/>
    <s v="5.00 dias"/>
    <d v="2022-07-26T00:00:00"/>
    <d v="2022-08-01T00:00:00"/>
    <m/>
    <m/>
    <n v="80.88"/>
    <s v="m²"/>
    <n v="162.85785630043145"/>
    <n v="13171.943417578896"/>
    <n v="36"/>
    <n v="37"/>
    <n v="0.15351618107620765"/>
    <n v="0.84648381892379232"/>
    <n v="2022.1064508186032"/>
    <n v="11149.836966760293"/>
    <x v="34"/>
    <x v="39"/>
  </r>
  <r>
    <s v="1.3.5.20"/>
    <s v="Metais"/>
    <m/>
    <x v="2"/>
    <s v="2.50 dias"/>
    <d v="2022-08-09T00:00:00"/>
    <d v="2022-08-11T00:00:00"/>
    <m/>
    <m/>
    <n v="12"/>
    <s v="und"/>
    <n v="111.67"/>
    <n v="1340.04"/>
    <n v="38"/>
    <n v="38"/>
    <n v="0.44776119402985076"/>
    <n v="0.55223880597014929"/>
    <n v="600.01791044776121"/>
    <n v="740.02208955223887"/>
    <x v="23"/>
    <x v="40"/>
  </r>
  <r>
    <s v="1.3.5.21"/>
    <s v="Acabamentos Elétricos"/>
    <m/>
    <x v="2"/>
    <s v="2.50 dias"/>
    <d v="2022-08-09T00:00:00"/>
    <d v="2022-08-11T00:00:00"/>
    <m/>
    <m/>
    <n v="4"/>
    <s v="apto"/>
    <n v="513.50426281564182"/>
    <n v="2054.0170512625673"/>
    <n v="38"/>
    <n v="38"/>
    <n v="0.45"/>
    <n v="0.55000000000000004"/>
    <n v="924.30767306815528"/>
    <n v="1129.709378194412"/>
    <x v="23"/>
    <x v="40"/>
  </r>
  <r>
    <s v="1.3.5.22"/>
    <s v="Pintura Final"/>
    <m/>
    <x v="2"/>
    <s v="5.00 dias"/>
    <d v="2022-08-16T00:00:00"/>
    <d v="2022-08-22T00:00:00"/>
    <m/>
    <m/>
    <n v="614.55999999999995"/>
    <s v="m²"/>
    <n v="6"/>
    <n v="3687.3599999999997"/>
    <n v="39"/>
    <n v="40"/>
    <n v="1"/>
    <n v="0"/>
    <n v="3687.3599999999997"/>
    <n v="0"/>
    <x v="24"/>
    <x v="41"/>
  </r>
  <r>
    <s v="1.3.5.23"/>
    <s v="Complementação e Limpeza"/>
    <m/>
    <x v="2"/>
    <s v="2.50 dias"/>
    <d v="2022-08-23T00:00:00"/>
    <d v="2022-08-25T00:00:00"/>
    <m/>
    <m/>
    <n v="0.25"/>
    <s v="torre"/>
    <n v="2000"/>
    <n v="500"/>
    <n v="40"/>
    <n v="40"/>
    <n v="1"/>
    <n v="0"/>
    <n v="500"/>
    <n v="0"/>
    <x v="35"/>
    <x v="26"/>
  </r>
  <r>
    <s v="1.4"/>
    <s v="PAV3"/>
    <m/>
    <x v="0"/>
    <s v="152.50 dias"/>
    <d v="2022-02-01T00:00:00"/>
    <d v="2022-09-01T00:00:00"/>
    <m/>
    <m/>
    <s v=" "/>
    <m/>
    <m/>
    <m/>
    <n v="11"/>
    <n v="41"/>
    <m/>
    <m/>
    <n v="0"/>
    <n v="0"/>
    <x v="36"/>
    <x v="42"/>
  </r>
  <r>
    <s v="1.4.5.3"/>
    <s v="Alvenaria Estrutural"/>
    <m/>
    <x v="2"/>
    <s v="5.00 dias"/>
    <d v="2022-02-01T00:00:00"/>
    <d v="2022-02-07T00:00:00"/>
    <m/>
    <m/>
    <n v="390.7"/>
    <s v="m²"/>
    <n v="247.89395397660905"/>
    <n v="96852.167818661153"/>
    <n v="11"/>
    <n v="12"/>
    <n v="0.13858702989570013"/>
    <n v="0.86141297010429985"/>
    <n v="13422.45427694816"/>
    <n v="83429.71354171299"/>
    <x v="36"/>
    <x v="43"/>
  </r>
  <r>
    <s v="1.4.5.4"/>
    <s v="Estrutura Moldado in Loco"/>
    <s v="GERAL"/>
    <x v="2"/>
    <s v="5.00 dias"/>
    <d v="2022-02-08T00:00:00"/>
    <d v="2022-02-14T00:00:00"/>
    <m/>
    <m/>
    <n v="25.44"/>
    <s v="m³"/>
    <n v="2550.8020330415566"/>
    <n v="64892.403720577204"/>
    <n v="12"/>
    <n v="13"/>
    <n v="0.38396280966583479"/>
    <n v="0.61603719033416515"/>
    <n v="24916.269658522495"/>
    <n v="39976.134062054705"/>
    <x v="37"/>
    <x v="44"/>
  </r>
  <r>
    <s v="1.4.5.5"/>
    <s v="Instalações Hidrossanitárias"/>
    <m/>
    <x v="2"/>
    <s v="5.00 dias"/>
    <d v="2022-03-01T00:00:00"/>
    <d v="2022-03-07T00:00:00"/>
    <m/>
    <m/>
    <n v="1"/>
    <s v="pvto"/>
    <n v="13455.889210118192"/>
    <n v="13455.889210118192"/>
    <n v="15"/>
    <n v="16"/>
    <n v="0.35672482024413354"/>
    <n v="0.64327517975586646"/>
    <n v="4800.0496597043884"/>
    <n v="8655.8395504138043"/>
    <x v="9"/>
    <x v="10"/>
  </r>
  <r>
    <s v="1.4.5.6"/>
    <s v="Reboco Interno"/>
    <m/>
    <x v="2"/>
    <s v="5.00 dias"/>
    <d v="2022-03-15T00:00:00"/>
    <d v="2022-03-21T00:00:00"/>
    <m/>
    <m/>
    <n v="140.59"/>
    <s v="m²"/>
    <n v="7"/>
    <n v="984.13"/>
    <n v="17"/>
    <n v="18"/>
    <n v="0.26486813778256191"/>
    <n v="0.73513186221743809"/>
    <n v="260.66468043595268"/>
    <n v="723.46531956404738"/>
    <x v="38"/>
    <x v="45"/>
  </r>
  <r>
    <s v="1.4.5.7"/>
    <s v="Shaft "/>
    <m/>
    <x v="2"/>
    <s v="2.50 dias"/>
    <d v="2022-04-05T00:00:00"/>
    <d v="2022-04-07T00:00:00"/>
    <m/>
    <m/>
    <n v="10.69"/>
    <s v="m²"/>
    <n v="295.46807160325829"/>
    <n v="3158.5536854388311"/>
    <n v="20"/>
    <n v="20"/>
    <n v="0.62478082992402106"/>
    <n v="0.37521917007597894"/>
    <n v="1973.4037929480482"/>
    <n v="1185.1498924907828"/>
    <x v="39"/>
    <x v="12"/>
  </r>
  <r>
    <s v="1.4.5.8"/>
    <s v="Impermeabilização"/>
    <m/>
    <x v="2"/>
    <s v="5.00 dias"/>
    <d v="2022-04-14T00:00:00"/>
    <d v="2022-04-21T00:00:00"/>
    <m/>
    <m/>
    <n v="6.08"/>
    <s v="m²"/>
    <n v="39.299999999999997"/>
    <n v="238.94399999999999"/>
    <n v="21"/>
    <n v="22"/>
    <n v="0.45815899581589958"/>
    <n v="0.54184100418410042"/>
    <n v="109.47434309623431"/>
    <n v="129.4696569037657"/>
    <x v="12"/>
    <x v="13"/>
  </r>
  <r>
    <s v="1.4.5.9"/>
    <s v="Cerâmica"/>
    <m/>
    <x v="2"/>
    <s v="5.00 dias"/>
    <d v="2022-04-28T00:00:00"/>
    <d v="2022-05-05T00:00:00"/>
    <m/>
    <m/>
    <n v="86.26"/>
    <s v="m²"/>
    <n v="236.90944856477213"/>
    <n v="20435.809033197245"/>
    <n v="23"/>
    <n v="24"/>
    <n v="0.57761004134961225"/>
    <n v="0.42238995865038781"/>
    <n v="11803.928500677841"/>
    <n v="8631.8805325194062"/>
    <x v="13"/>
    <x v="14"/>
  </r>
  <r>
    <s v="1.4.5.10"/>
    <s v="Gesso Liso"/>
    <m/>
    <x v="2"/>
    <s v="5.00 dias"/>
    <d v="2022-05-12T00:00:00"/>
    <d v="2022-05-19T00:00:00"/>
    <m/>
    <m/>
    <n v="447.45"/>
    <s v="m²"/>
    <n v="15.222400000000006"/>
    <n v="6811.262880000002"/>
    <n v="25"/>
    <n v="26"/>
    <n v="0.45986419526518629"/>
    <n v="0.54013580473481371"/>
    <n v="3132.2559230508359"/>
    <n v="3679.0069569491661"/>
    <x v="40"/>
    <x v="46"/>
  </r>
  <r>
    <s v="1.4.5.11"/>
    <s v="Esquadria "/>
    <m/>
    <x v="2"/>
    <s v="5.00 dias"/>
    <d v="2022-06-02T00:00:00"/>
    <d v="2022-06-09T00:00:00"/>
    <m/>
    <m/>
    <n v="21"/>
    <s v="und"/>
    <n v="1261.9047619047619"/>
    <n v="26500"/>
    <n v="28"/>
    <n v="29"/>
    <n v="0.19811320754716982"/>
    <n v="0.80188679245283023"/>
    <n v="5250"/>
    <n v="21250"/>
    <x v="32"/>
    <x v="35"/>
  </r>
  <r>
    <s v="1.4.5.12"/>
    <s v="Fiação"/>
    <m/>
    <x v="2"/>
    <s v="5.00 dias"/>
    <d v="2022-06-09T00:00:00"/>
    <d v="2022-06-16T00:00:00"/>
    <m/>
    <m/>
    <n v="4"/>
    <s v="apto"/>
    <n v="1283.6297966501836"/>
    <n v="5134.5191866007344"/>
    <n v="29"/>
    <n v="30"/>
    <n v="0.62323497906319991"/>
    <n v="0.37676502093680009"/>
    <n v="3200.011957760707"/>
    <n v="1934.5072288400274"/>
    <x v="16"/>
    <x v="17"/>
  </r>
  <r>
    <s v="1.4.5.13"/>
    <s v="Forro"/>
    <m/>
    <x v="2"/>
    <s v="5.00 dias"/>
    <d v="2022-06-23T00:00:00"/>
    <d v="2022-06-30T00:00:00"/>
    <m/>
    <m/>
    <n v="29.29"/>
    <s v="m²"/>
    <n v="78.445334999999986"/>
    <n v="2297.6638621499997"/>
    <n v="31"/>
    <n v="32"/>
    <n v="0.31868131868131866"/>
    <n v="0.68131868131868134"/>
    <n v="732.2225494763735"/>
    <n v="1565.4413126736263"/>
    <x v="18"/>
    <x v="20"/>
  </r>
  <r>
    <s v="1.4.5.14"/>
    <s v="Disjuntores e CD"/>
    <m/>
    <x v="2"/>
    <s v="2.50 dias"/>
    <d v="2022-06-30T00:00:00"/>
    <d v="2022-07-04T00:00:00"/>
    <m/>
    <m/>
    <n v="4"/>
    <s v="apto"/>
    <n v="350"/>
    <n v="1400"/>
    <n v="32"/>
    <n v="33"/>
    <n v="1"/>
    <n v="0"/>
    <n v="1400"/>
    <n v="0"/>
    <x v="33"/>
    <x v="47"/>
  </r>
  <r>
    <s v="1.4.5.17"/>
    <s v="Rev. da Circulação"/>
    <s v="GERAL"/>
    <x v="2"/>
    <s v="5.00 dias"/>
    <d v="2022-06-30T00:00:00"/>
    <d v="2022-07-07T00:00:00"/>
    <m/>
    <m/>
    <n v="22.5"/>
    <s v="m²"/>
    <n v="160.77478755454416"/>
    <n v="3617.4327199772438"/>
    <n v="32"/>
    <n v="33"/>
    <n v="0.28742225293711127"/>
    <n v="0.71257774706288879"/>
    <n v="1039.7306622242818"/>
    <n v="2577.7020577529624"/>
    <x v="33"/>
    <x v="37"/>
  </r>
  <r>
    <s v="1.4.5.16"/>
    <s v="Pintura Interna - 1ªdmão"/>
    <m/>
    <x v="2"/>
    <s v="5.00 dias"/>
    <d v="2022-07-07T00:00:00"/>
    <d v="2022-07-14T00:00:00"/>
    <m/>
    <m/>
    <n v="476.74"/>
    <s v="m²"/>
    <n v="31.043507801912533"/>
    <n v="14799.681909483781"/>
    <n v="33"/>
    <n v="34"/>
    <n v="0.52623399439170238"/>
    <n v="0.47376600560829757"/>
    <n v="7788.0957269542669"/>
    <n v="7011.5861825295133"/>
    <x v="41"/>
    <x v="21"/>
  </r>
  <r>
    <s v="1.4.5.18"/>
    <s v="Louças"/>
    <s v="GERAL"/>
    <x v="2"/>
    <s v="2.50 dias"/>
    <d v="2022-07-19T00:00:00"/>
    <d v="2022-07-21T00:00:00"/>
    <m/>
    <m/>
    <n v="16"/>
    <s v="und"/>
    <n v="327.25146699999999"/>
    <n v="5236.0234719999999"/>
    <n v="35"/>
    <n v="35"/>
    <n v="0.15279568352194051"/>
    <n v="0.84720431647805949"/>
    <n v="800.04178534116409"/>
    <n v="4435.9816866588353"/>
    <x v="21"/>
    <x v="38"/>
  </r>
  <r>
    <s v="1.4.5.19"/>
    <s v="Portas de Madeira"/>
    <s v="GERAL"/>
    <x v="2"/>
    <s v="2.50 dias"/>
    <d v="2022-07-21T00:00:00"/>
    <d v="2022-07-25T00:00:00"/>
    <m/>
    <m/>
    <n v="20"/>
    <s v="und"/>
    <n v="520"/>
    <n v="10400"/>
    <n v="35"/>
    <n v="36"/>
    <n v="0.15384615384615385"/>
    <n v="0.84615384615384615"/>
    <n v="1600"/>
    <n v="8800"/>
    <x v="42"/>
    <x v="23"/>
  </r>
  <r>
    <s v="1.4.5.15"/>
    <s v="Piso Laminado + Rodapé"/>
    <m/>
    <x v="2"/>
    <s v="5.00 dias"/>
    <d v="2022-08-02T00:00:00"/>
    <d v="2022-08-08T00:00:00"/>
    <m/>
    <m/>
    <n v="80.88"/>
    <s v="m²"/>
    <n v="162.85785630043145"/>
    <n v="13171.943417578896"/>
    <n v="37"/>
    <n v="38"/>
    <n v="0.15351618107620765"/>
    <n v="0.84648381892379232"/>
    <n v="2022.1064508186032"/>
    <n v="11149.836966760293"/>
    <x v="43"/>
    <x v="24"/>
  </r>
  <r>
    <s v="1.4.5.20"/>
    <s v="Metais"/>
    <m/>
    <x v="2"/>
    <s v="2.50 dias"/>
    <d v="2022-08-11T00:00:00"/>
    <d v="2022-08-15T00:00:00"/>
    <m/>
    <m/>
    <n v="12"/>
    <s v="und"/>
    <n v="111.67"/>
    <n v="1340.04"/>
    <n v="38"/>
    <n v="39"/>
    <n v="0.44776119402985076"/>
    <n v="0.55223880597014929"/>
    <n v="600.01791044776121"/>
    <n v="740.02208955223887"/>
    <x v="44"/>
    <x v="25"/>
  </r>
  <r>
    <s v="1.4.5.21"/>
    <s v="Acabamentos Elétricos"/>
    <m/>
    <x v="2"/>
    <s v="2.50 dias"/>
    <d v="2022-08-11T00:00:00"/>
    <d v="2022-08-15T00:00:00"/>
    <m/>
    <m/>
    <n v="4"/>
    <s v="apto"/>
    <n v="513.50426281564182"/>
    <n v="2054.0170512625673"/>
    <n v="38"/>
    <n v="39"/>
    <n v="0.45"/>
    <n v="0.55000000000000004"/>
    <n v="924.30767306815528"/>
    <n v="1129.709378194412"/>
    <x v="44"/>
    <x v="25"/>
  </r>
  <r>
    <s v="1.4.5.22"/>
    <s v="Pintura Final"/>
    <m/>
    <x v="2"/>
    <s v="5.00 dias"/>
    <d v="2022-08-23T00:00:00"/>
    <d v="2022-08-29T00:00:00"/>
    <m/>
    <m/>
    <n v="614.55999999999995"/>
    <s v="m²"/>
    <n v="6"/>
    <n v="3687.3599999999997"/>
    <n v="40"/>
    <n v="41"/>
    <n v="1"/>
    <n v="0"/>
    <n v="3687.3599999999997"/>
    <n v="0"/>
    <x v="35"/>
    <x v="48"/>
  </r>
  <r>
    <s v="1.4.5.23"/>
    <s v="Complementação e Limpeza"/>
    <m/>
    <x v="2"/>
    <s v="2.50 dias"/>
    <d v="2022-08-30T00:00:00"/>
    <d v="2022-09-01T00:00:00"/>
    <m/>
    <m/>
    <n v="0.25"/>
    <s v="torre"/>
    <n v="2000"/>
    <n v="500"/>
    <n v="41"/>
    <n v="41"/>
    <n v="1"/>
    <n v="0"/>
    <n v="500"/>
    <n v="0"/>
    <x v="45"/>
    <x v="42"/>
  </r>
  <r>
    <s v="1.5"/>
    <s v="PAV4"/>
    <m/>
    <x v="0"/>
    <s v="147.50 dias"/>
    <d v="2022-02-15T00:00:00"/>
    <d v="2022-09-09T00:00:00"/>
    <m/>
    <m/>
    <s v=" "/>
    <m/>
    <m/>
    <m/>
    <n v="13"/>
    <n v="42"/>
    <m/>
    <m/>
    <n v="0"/>
    <n v="0"/>
    <x v="8"/>
    <x v="49"/>
  </r>
  <r>
    <s v="1.5.5.3"/>
    <s v="Alvenaria Estrutural"/>
    <m/>
    <x v="2"/>
    <s v="5.00 dias"/>
    <d v="2022-02-15T00:00:00"/>
    <d v="2022-02-21T00:00:00"/>
    <m/>
    <m/>
    <n v="390.7"/>
    <s v="m²"/>
    <n v="247.89395397660905"/>
    <n v="96852.167818661153"/>
    <n v="13"/>
    <n v="14"/>
    <n v="0.13858702989570013"/>
    <n v="0.86141297010429985"/>
    <n v="13422.45427694816"/>
    <n v="83429.71354171299"/>
    <x v="8"/>
    <x v="9"/>
  </r>
  <r>
    <s v="1.5.5.4"/>
    <s v="Estrutura Moldado in Loco"/>
    <s v="GERAL"/>
    <x v="2"/>
    <s v="5.00 dias"/>
    <d v="2022-02-22T00:00:00"/>
    <d v="2022-02-28T00:00:00"/>
    <m/>
    <m/>
    <n v="26.73"/>
    <s v="m³"/>
    <n v="2550.8020330415566"/>
    <n v="68182.938343200804"/>
    <n v="14"/>
    <n v="15"/>
    <n v="0.38396280966583479"/>
    <n v="0.61603719033416515"/>
    <n v="26179.71257752776"/>
    <n v="42003.225765673043"/>
    <x v="27"/>
    <x v="29"/>
  </r>
  <r>
    <s v="1.5.5.5"/>
    <s v="Instalações Hidrossanitárias"/>
    <m/>
    <x v="2"/>
    <s v="5.00 dias"/>
    <d v="2022-03-08T00:00:00"/>
    <d v="2022-03-14T00:00:00"/>
    <m/>
    <m/>
    <n v="1"/>
    <s v="pvto"/>
    <n v="13455.889210118192"/>
    <n v="13455.889210118192"/>
    <n v="16"/>
    <n v="17"/>
    <n v="0.35672482024413354"/>
    <n v="0.64327517975586646"/>
    <n v="4800.0496597043884"/>
    <n v="8655.8395504138043"/>
    <x v="28"/>
    <x v="30"/>
  </r>
  <r>
    <s v="1.5.5.6"/>
    <s v="Reboco Interno"/>
    <m/>
    <x v="2"/>
    <s v="5.00 dias"/>
    <d v="2022-03-22T00:00:00"/>
    <d v="2022-03-28T00:00:00"/>
    <m/>
    <m/>
    <n v="140.59"/>
    <s v="m²"/>
    <n v="7"/>
    <n v="984.13"/>
    <n v="18"/>
    <n v="19"/>
    <n v="0.26486813778256191"/>
    <n v="0.73513186221743809"/>
    <n v="260.66468043595268"/>
    <n v="723.46531956404738"/>
    <x v="46"/>
    <x v="50"/>
  </r>
  <r>
    <s v="1.5.5.7"/>
    <s v="Shaft "/>
    <m/>
    <x v="2"/>
    <s v="2.50 dias"/>
    <d v="2022-04-07T00:00:00"/>
    <d v="2022-04-11T00:00:00"/>
    <m/>
    <m/>
    <n v="10.69"/>
    <s v="m²"/>
    <n v="295.46807160325829"/>
    <n v="3158.5536854388311"/>
    <n v="20"/>
    <n v="21"/>
    <n v="0.62478082992402106"/>
    <n v="0.37521917007597894"/>
    <n v="1973.4037929480482"/>
    <n v="1185.1498924907828"/>
    <x v="29"/>
    <x v="51"/>
  </r>
  <r>
    <s v="1.5.5.8"/>
    <s v="Impermeabilização"/>
    <m/>
    <x v="2"/>
    <s v="5.00 dias"/>
    <d v="2022-04-21T00:00:00"/>
    <d v="2022-04-28T00:00:00"/>
    <m/>
    <m/>
    <n v="6.08"/>
    <s v="m²"/>
    <n v="39.299999999999997"/>
    <n v="238.94399999999999"/>
    <n v="22"/>
    <n v="23"/>
    <n v="0.45815899581589958"/>
    <n v="0.54184100418410042"/>
    <n v="109.47434309623431"/>
    <n v="129.4696569037657"/>
    <x v="30"/>
    <x v="33"/>
  </r>
  <r>
    <s v="1.5.5.9"/>
    <s v="Cerâmica"/>
    <m/>
    <x v="2"/>
    <s v="5.00 dias"/>
    <d v="2022-05-05T00:00:00"/>
    <d v="2022-05-12T00:00:00"/>
    <m/>
    <m/>
    <n v="86.26"/>
    <s v="m²"/>
    <n v="236.90944856477213"/>
    <n v="20435.809033197245"/>
    <n v="24"/>
    <n v="25"/>
    <n v="0.57761004134961225"/>
    <n v="0.42238995865038781"/>
    <n v="11803.928500677841"/>
    <n v="8631.8805325194062"/>
    <x v="31"/>
    <x v="34"/>
  </r>
  <r>
    <s v="1.5.5.10"/>
    <s v="Gesso Liso"/>
    <m/>
    <x v="2"/>
    <s v="5.00 dias"/>
    <d v="2022-05-19T00:00:00"/>
    <d v="2022-05-26T00:00:00"/>
    <m/>
    <m/>
    <n v="447.45"/>
    <s v="m²"/>
    <n v="15.222400000000006"/>
    <n v="6811.262880000002"/>
    <n v="26"/>
    <n v="27"/>
    <n v="0.45986419526518629"/>
    <n v="0.54013580473481371"/>
    <n v="3132.2559230508359"/>
    <n v="3679.0069569491661"/>
    <x v="14"/>
    <x v="15"/>
  </r>
  <r>
    <s v="1.5.5.11"/>
    <s v="Esquadria "/>
    <m/>
    <x v="2"/>
    <s v="5.00 dias"/>
    <d v="2022-06-09T00:00:00"/>
    <d v="2022-06-16T00:00:00"/>
    <m/>
    <m/>
    <n v="21"/>
    <s v="und"/>
    <n v="1261.9047619047619"/>
    <n v="26500"/>
    <n v="29"/>
    <n v="30"/>
    <n v="0.19811320754716982"/>
    <n v="0.80188679245283023"/>
    <n v="5250"/>
    <n v="21250"/>
    <x v="16"/>
    <x v="17"/>
  </r>
  <r>
    <s v="1.5.5.12"/>
    <s v="Fiação"/>
    <m/>
    <x v="2"/>
    <s v="5.00 dias"/>
    <d v="2022-06-16T00:00:00"/>
    <d v="2022-06-23T00:00:00"/>
    <m/>
    <m/>
    <n v="4"/>
    <s v="apto"/>
    <n v="1283.6297966501836"/>
    <n v="5134.5191866007344"/>
    <n v="30"/>
    <n v="31"/>
    <n v="0.62323497906319991"/>
    <n v="0.37676502093680009"/>
    <n v="3200.011957760707"/>
    <n v="1934.5072288400274"/>
    <x v="17"/>
    <x v="19"/>
  </r>
  <r>
    <s v="1.5.5.13"/>
    <s v="Forro"/>
    <m/>
    <x v="2"/>
    <s v="5.00 dias"/>
    <d v="2022-06-30T00:00:00"/>
    <d v="2022-07-07T00:00:00"/>
    <m/>
    <m/>
    <n v="29.29"/>
    <s v="m²"/>
    <n v="78.445334999999986"/>
    <n v="2297.6638621499997"/>
    <n v="32"/>
    <n v="33"/>
    <n v="0.31868131868131866"/>
    <n v="0.68131868131868134"/>
    <n v="732.2225494763735"/>
    <n v="1565.4413126736263"/>
    <x v="33"/>
    <x v="37"/>
  </r>
  <r>
    <s v="1.5.5.14"/>
    <s v="Disjuntores e CD"/>
    <m/>
    <x v="2"/>
    <s v="2.50 dias"/>
    <d v="2022-07-07T00:00:00"/>
    <d v="2022-07-11T00:00:00"/>
    <m/>
    <m/>
    <n v="4"/>
    <s v="apto"/>
    <n v="350"/>
    <n v="1400"/>
    <n v="33"/>
    <n v="34"/>
    <n v="1"/>
    <n v="0"/>
    <n v="1400"/>
    <n v="0"/>
    <x v="41"/>
    <x v="52"/>
  </r>
  <r>
    <s v="1.5.5.17"/>
    <s v="Rev. da Circulação"/>
    <s v="GERAL"/>
    <x v="2"/>
    <s v="5.00 dias"/>
    <d v="2022-07-07T00:00:00"/>
    <d v="2022-07-14T00:00:00"/>
    <m/>
    <m/>
    <n v="22.5"/>
    <s v="m²"/>
    <n v="160.77478755454416"/>
    <n v="3617.4327199772438"/>
    <n v="33"/>
    <n v="34"/>
    <n v="0.28742225293711127"/>
    <n v="0.71257774706288879"/>
    <n v="1039.7306622242818"/>
    <n v="2577.7020577529624"/>
    <x v="41"/>
    <x v="21"/>
  </r>
  <r>
    <s v="1.5.5.16"/>
    <s v="Pintura Interna - 1ªdmão"/>
    <m/>
    <x v="2"/>
    <s v="5.00 dias"/>
    <d v="2022-07-14T00:00:00"/>
    <d v="2022-07-21T00:00:00"/>
    <m/>
    <m/>
    <n v="476.74"/>
    <s v="m²"/>
    <n v="31.043507801912533"/>
    <n v="14799.681909483781"/>
    <n v="34"/>
    <n v="35"/>
    <n v="0.52623399439170238"/>
    <n v="0.47376600560829757"/>
    <n v="7788.0957269542669"/>
    <n v="7011.5861825295133"/>
    <x v="20"/>
    <x v="38"/>
  </r>
  <r>
    <s v="1.5.5.18"/>
    <s v="Louças"/>
    <s v="GERAL"/>
    <x v="2"/>
    <s v="2.50 dias"/>
    <d v="2022-07-21T00:00:00"/>
    <d v="2022-07-25T00:00:00"/>
    <m/>
    <m/>
    <n v="16"/>
    <s v="und"/>
    <n v="327.25146699999999"/>
    <n v="5236.0234719999999"/>
    <n v="35"/>
    <n v="36"/>
    <n v="0.15279568352194051"/>
    <n v="0.84720431647805949"/>
    <n v="800.04178534116409"/>
    <n v="4435.9816866588353"/>
    <x v="42"/>
    <x v="23"/>
  </r>
  <r>
    <s v="1.5.5.19"/>
    <s v="Portas de Madeira"/>
    <s v="GERAL"/>
    <x v="2"/>
    <s v="2.50 dias"/>
    <d v="2022-07-26T00:00:00"/>
    <d v="2022-07-28T00:00:00"/>
    <m/>
    <m/>
    <n v="20"/>
    <s v="und"/>
    <n v="520"/>
    <n v="10400"/>
    <n v="36"/>
    <n v="36"/>
    <n v="0.15384615384615385"/>
    <n v="0.84615384615384615"/>
    <n v="1600"/>
    <n v="8800"/>
    <x v="34"/>
    <x v="53"/>
  </r>
  <r>
    <s v="1.5.5.15"/>
    <s v="Piso Laminado + Rodapé"/>
    <m/>
    <x v="2"/>
    <s v="5.00 dias"/>
    <d v="2022-08-09T00:00:00"/>
    <d v="2022-08-15T00:00:00"/>
    <m/>
    <m/>
    <n v="80.88"/>
    <s v="m²"/>
    <n v="162.85785630043145"/>
    <n v="13171.943417578896"/>
    <n v="38"/>
    <n v="39"/>
    <n v="0.15351618107620765"/>
    <n v="0.84648381892379232"/>
    <n v="2022.1064508186032"/>
    <n v="11149.836966760293"/>
    <x v="23"/>
    <x v="25"/>
  </r>
  <r>
    <s v="1.5.5.20"/>
    <s v="Metais"/>
    <m/>
    <x v="2"/>
    <s v="2.50 dias"/>
    <d v="2022-08-16T00:00:00"/>
    <d v="2022-08-18T00:00:00"/>
    <m/>
    <m/>
    <n v="12"/>
    <s v="und"/>
    <n v="111.67"/>
    <n v="1340.04"/>
    <n v="39"/>
    <n v="39"/>
    <n v="0.44776119402985076"/>
    <n v="0.55223880597014929"/>
    <n v="600.01791044776121"/>
    <n v="740.02208955223887"/>
    <x v="24"/>
    <x v="6"/>
  </r>
  <r>
    <s v="1.5.5.21"/>
    <s v="Acabamentos Elétricos"/>
    <m/>
    <x v="2"/>
    <s v="2.50 dias"/>
    <d v="2022-08-16T00:00:00"/>
    <d v="2022-08-18T00:00:00"/>
    <m/>
    <m/>
    <n v="4"/>
    <s v="apto"/>
    <n v="513.50426281564182"/>
    <n v="2054.0170512625673"/>
    <n v="39"/>
    <n v="39"/>
    <n v="0.45"/>
    <n v="0.55000000000000004"/>
    <n v="924.30767306815528"/>
    <n v="1129.709378194412"/>
    <x v="24"/>
    <x v="6"/>
  </r>
  <r>
    <s v="1.5.5.22"/>
    <s v="Pintura Final"/>
    <m/>
    <x v="2"/>
    <s v="5.00 dias"/>
    <d v="2022-08-30T00:00:00"/>
    <d v="2022-09-05T00:00:00"/>
    <m/>
    <m/>
    <n v="614.55999999999995"/>
    <s v="m²"/>
    <n v="6"/>
    <n v="3687.3599999999997"/>
    <n v="41"/>
    <n v="42"/>
    <n v="1"/>
    <n v="0"/>
    <n v="3687.3599999999997"/>
    <n v="0"/>
    <x v="45"/>
    <x v="54"/>
  </r>
  <r>
    <s v="1.5.5.23"/>
    <s v="Complementação e Limpeza"/>
    <m/>
    <x v="2"/>
    <s v="2.50 dias"/>
    <d v="2022-09-06T00:00:00"/>
    <d v="2022-09-09T00:00:00"/>
    <m/>
    <m/>
    <n v="0.25"/>
    <s v="torre"/>
    <n v="2000"/>
    <n v="500"/>
    <n v="42"/>
    <n v="42"/>
    <n v="1"/>
    <n v="0"/>
    <n v="500"/>
    <n v="0"/>
    <x v="47"/>
    <x v="49"/>
  </r>
  <r>
    <s v="1.6"/>
    <s v="COB"/>
    <m/>
    <x v="0"/>
    <s v="40.00 dias"/>
    <d v="2022-03-01T00:00:00"/>
    <d v="2022-04-25T00:00:00"/>
    <m/>
    <m/>
    <s v=" "/>
    <m/>
    <m/>
    <m/>
    <n v="15"/>
    <n v="23"/>
    <m/>
    <m/>
    <n v="0"/>
    <n v="0"/>
    <x v="9"/>
    <x v="55"/>
  </r>
  <r>
    <s v="1.6.6.1"/>
    <s v="Alvenaria Estrutural"/>
    <m/>
    <x v="3"/>
    <s v="5.00 dias"/>
    <d v="2022-03-01T00:00:00"/>
    <d v="2022-03-07T00:00:00"/>
    <m/>
    <m/>
    <n v="81.7"/>
    <s v="m²"/>
    <n v="247.89395397660905"/>
    <n v="20252.936039888962"/>
    <n v="15"/>
    <n v="16"/>
    <n v="0.13858702989570013"/>
    <n v="0.86141297010429985"/>
    <n v="2806.7942524357941"/>
    <n v="17446.141787453169"/>
    <x v="9"/>
    <x v="10"/>
  </r>
  <r>
    <s v="1.6.6.2"/>
    <s v="Instalações Hidrossanitárias"/>
    <m/>
    <x v="3"/>
    <s v="5.00 dias"/>
    <d v="2022-03-15T00:00:00"/>
    <d v="2022-03-21T00:00:00"/>
    <m/>
    <m/>
    <m/>
    <m/>
    <n v="13455.889210118192"/>
    <n v="0"/>
    <n v="17"/>
    <n v="18"/>
    <n v="0.35672482024413354"/>
    <n v="0.64327517975586646"/>
    <n v="0"/>
    <n v="0"/>
    <x v="38"/>
    <x v="45"/>
  </r>
  <r>
    <s v="1.6.6.4"/>
    <s v="Telhado"/>
    <m/>
    <x v="3"/>
    <s v="5.00 dias"/>
    <d v="2022-03-22T00:00:00"/>
    <d v="2022-03-28T00:00:00"/>
    <m/>
    <m/>
    <n v="243.7"/>
    <s v="m²"/>
    <n v="209.65947672607118"/>
    <n v="51094.014478143545"/>
    <n v="18"/>
    <n v="19"/>
    <n v="0.48683772728162372"/>
    <n v="0.51316227271837633"/>
    <n v="24874.49388623378"/>
    <n v="26219.520591909768"/>
    <x v="46"/>
    <x v="50"/>
  </r>
  <r>
    <s v="1.6.6.5"/>
    <s v="Algerosas + Rufos"/>
    <m/>
    <x v="3"/>
    <s v="5.00 dias"/>
    <d v="2022-04-19T00:00:00"/>
    <d v="2022-04-25T00:00:00"/>
    <m/>
    <m/>
    <n v="75.180000000000007"/>
    <s v="m"/>
    <n v="134.24139437622111"/>
    <n v="10092.268029204304"/>
    <n v="22"/>
    <n v="23"/>
    <n v="0.24772096710265556"/>
    <n v="0.75227903289734444"/>
    <n v="2500.0663964537021"/>
    <n v="7592.2016327506026"/>
    <x v="48"/>
    <x v="55"/>
  </r>
  <r>
    <n v="2"/>
    <s v="FACHADA"/>
    <m/>
    <x v="0"/>
    <s v="93.00 dias"/>
    <d v="2022-03-08T00:00:00"/>
    <d v="2022-07-14T00:00:00"/>
    <m/>
    <m/>
    <s v=" "/>
    <m/>
    <m/>
    <m/>
    <n v="16"/>
    <n v="34"/>
    <m/>
    <m/>
    <n v="0"/>
    <n v="0"/>
    <x v="28"/>
    <x v="21"/>
  </r>
  <r>
    <s v="2.1"/>
    <s v="PANO1"/>
    <m/>
    <x v="0"/>
    <s v="68.00 dias"/>
    <d v="2022-03-08T00:00:00"/>
    <d v="2022-06-09T00:00:00"/>
    <m/>
    <m/>
    <s v=" "/>
    <m/>
    <m/>
    <m/>
    <n v="16"/>
    <n v="29"/>
    <m/>
    <m/>
    <n v="0"/>
    <n v="0"/>
    <x v="28"/>
    <x v="35"/>
  </r>
  <r>
    <s v="2.1.7.1"/>
    <s v="Reboco Externo"/>
    <m/>
    <x v="4"/>
    <s v="5.00 dias"/>
    <d v="2022-03-08T00:00:00"/>
    <d v="2022-03-14T00:00:00"/>
    <m/>
    <m/>
    <n v="126.22"/>
    <s v="m²"/>
    <n v="111.22574674641417"/>
    <n v="14038.913754332398"/>
    <n v="16"/>
    <n v="17"/>
    <n v="0.31851905468495528"/>
    <n v="0.68148094531504466"/>
    <n v="4471.6615378335719"/>
    <n v="9567.2522164988259"/>
    <x v="28"/>
    <x v="30"/>
  </r>
  <r>
    <s v="2.1.7.2"/>
    <s v="Pintura Externa "/>
    <m/>
    <x v="4"/>
    <s v="5.00 dias"/>
    <d v="2022-06-03T00:00:00"/>
    <d v="2022-06-09T00:00:00"/>
    <m/>
    <m/>
    <n v="126.22"/>
    <s v="m²"/>
    <n v="49.707079999999983"/>
    <n v="6274.0276375999974"/>
    <n v="28"/>
    <n v="29"/>
    <n v="0.40235935644098908"/>
    <n v="0.59764064355901092"/>
    <n v="2524.4137225577142"/>
    <n v="3749.6139150422832"/>
    <x v="49"/>
    <x v="35"/>
  </r>
  <r>
    <s v="2.2"/>
    <s v="PANO2"/>
    <m/>
    <x v="0"/>
    <s v="68.00 dias"/>
    <d v="2022-03-15T00:00:00"/>
    <d v="2022-06-16T00:00:00"/>
    <m/>
    <m/>
    <m/>
    <m/>
    <m/>
    <m/>
    <n v="17"/>
    <n v="30"/>
    <m/>
    <m/>
    <n v="0"/>
    <n v="0"/>
    <x v="38"/>
    <x v="17"/>
  </r>
  <r>
    <s v="2.2.7.1"/>
    <s v="Reboco Externo"/>
    <m/>
    <x v="4"/>
    <s v="5.00 dias"/>
    <d v="2022-03-15T00:00:00"/>
    <d v="2022-03-21T00:00:00"/>
    <m/>
    <m/>
    <n v="142.51"/>
    <s v="m²"/>
    <n v="111.22574674641417"/>
    <n v="15850.781168831483"/>
    <n v="17"/>
    <n v="18"/>
    <n v="0.31851905468495528"/>
    <n v="0.68148094531504466"/>
    <n v="5048.7758339142947"/>
    <n v="10802.005334917189"/>
    <x v="38"/>
    <x v="45"/>
  </r>
  <r>
    <s v="2.2.7.2"/>
    <s v="Pintura Externa "/>
    <m/>
    <x v="4"/>
    <s v="5.00 dias"/>
    <d v="2022-06-10T00:00:00"/>
    <d v="2022-06-16T00:00:00"/>
    <m/>
    <m/>
    <n v="142.51"/>
    <s v="m²"/>
    <n v="49.707079999999983"/>
    <n v="7083.7559707999972"/>
    <n v="29"/>
    <n v="30"/>
    <n v="0.40235935644098908"/>
    <n v="0.59764064355901092"/>
    <n v="2850.2154935961007"/>
    <n v="4233.5404772038964"/>
    <x v="50"/>
    <x v="17"/>
  </r>
  <r>
    <s v="2.3"/>
    <s v="PANO3"/>
    <m/>
    <x v="0"/>
    <s v="68.00 dias"/>
    <d v="2022-03-22T00:00:00"/>
    <d v="2022-06-23T00:00:00"/>
    <m/>
    <m/>
    <m/>
    <m/>
    <m/>
    <m/>
    <n v="18"/>
    <n v="31"/>
    <m/>
    <m/>
    <n v="0"/>
    <n v="0"/>
    <x v="46"/>
    <x v="19"/>
  </r>
  <r>
    <s v="2.3.7.1"/>
    <s v="Reboco Externo"/>
    <m/>
    <x v="4"/>
    <s v="5.00 dias"/>
    <d v="2022-03-22T00:00:00"/>
    <d v="2022-03-28T00:00:00"/>
    <m/>
    <m/>
    <n v="113.41"/>
    <s v="m²"/>
    <n v="111.22574674641417"/>
    <n v="12614.11193851083"/>
    <n v="18"/>
    <n v="19"/>
    <n v="0.31851905468495528"/>
    <n v="0.68148094531504466"/>
    <n v="4017.8350103446783"/>
    <n v="8596.2769281661513"/>
    <x v="46"/>
    <x v="50"/>
  </r>
  <r>
    <s v="2.3.7.2"/>
    <s v="Pintura Externa "/>
    <m/>
    <x v="4"/>
    <s v="5.00 dias"/>
    <d v="2022-06-17T00:00:00"/>
    <d v="2022-06-23T00:00:00"/>
    <m/>
    <m/>
    <n v="113.41"/>
    <s v="m²"/>
    <n v="49.707079999999983"/>
    <n v="5637.279942799998"/>
    <n v="30"/>
    <n v="31"/>
    <n v="0.40235935644098908"/>
    <n v="0.59764064355901092"/>
    <n v="2268.212329862703"/>
    <n v="3369.0676129372951"/>
    <x v="51"/>
    <x v="19"/>
  </r>
  <r>
    <s v="2.4"/>
    <s v="PANO4"/>
    <m/>
    <x v="0"/>
    <s v="68.00 dias"/>
    <d v="2022-03-29T00:00:00"/>
    <d v="2022-06-30T00:00:00"/>
    <m/>
    <m/>
    <m/>
    <m/>
    <m/>
    <m/>
    <n v="19"/>
    <n v="32"/>
    <m/>
    <m/>
    <n v="0"/>
    <n v="0"/>
    <x v="10"/>
    <x v="20"/>
  </r>
  <r>
    <s v="2.4.7.1"/>
    <s v="Reboco Externo"/>
    <m/>
    <x v="4"/>
    <s v="5.00 dias"/>
    <d v="2022-03-29T00:00:00"/>
    <d v="2022-04-04T00:00:00"/>
    <m/>
    <m/>
    <n v="124.84"/>
    <s v="m²"/>
    <n v="111.22574674641417"/>
    <n v="13885.422223822346"/>
    <n v="19"/>
    <n v="20"/>
    <n v="0.31851905468495528"/>
    <n v="0.68148094531504466"/>
    <n v="4422.7715606333632"/>
    <n v="9462.6506631889824"/>
    <x v="10"/>
    <x v="31"/>
  </r>
  <r>
    <s v="2.4.7.2"/>
    <s v="Pintura Externa "/>
    <m/>
    <x v="4"/>
    <s v="5.00 dias"/>
    <d v="2022-06-24T00:00:00"/>
    <d v="2022-06-30T00:00:00"/>
    <m/>
    <m/>
    <n v="124.84"/>
    <s v="m²"/>
    <n v="49.707079999999983"/>
    <n v="6205.4318671999981"/>
    <n v="31"/>
    <n v="32"/>
    <n v="0.40235935644098908"/>
    <n v="0.59764064355901092"/>
    <n v="2496.8135725249963"/>
    <n v="3708.6182946750018"/>
    <x v="52"/>
    <x v="20"/>
  </r>
  <r>
    <s v="2.5"/>
    <s v="PANO5"/>
    <m/>
    <x v="0"/>
    <s v="68.00 dias"/>
    <d v="2022-04-05T00:00:00"/>
    <d v="2022-07-07T00:00:00"/>
    <m/>
    <m/>
    <m/>
    <m/>
    <m/>
    <m/>
    <n v="20"/>
    <n v="33"/>
    <m/>
    <m/>
    <n v="0"/>
    <n v="0"/>
    <x v="39"/>
    <x v="37"/>
  </r>
  <r>
    <s v="2.5.7.1"/>
    <s v="Reboco Externo"/>
    <m/>
    <x v="4"/>
    <s v="5.00 dias"/>
    <d v="2022-04-05T00:00:00"/>
    <d v="2022-04-11T00:00:00"/>
    <m/>
    <m/>
    <n v="138.44"/>
    <s v="m²"/>
    <n v="111.22574674641417"/>
    <n v="15398.092379573578"/>
    <n v="20"/>
    <n v="21"/>
    <n v="0.31851905468495528"/>
    <n v="0.68148094531504466"/>
    <n v="4904.5858286933899"/>
    <n v="10493.506550880187"/>
    <x v="39"/>
    <x v="51"/>
  </r>
  <r>
    <s v="2.5.7.2"/>
    <s v="Pintura Externa "/>
    <m/>
    <x v="4"/>
    <s v="5.00 dias"/>
    <d v="2022-07-01T00:00:00"/>
    <d v="2022-07-07T00:00:00"/>
    <m/>
    <m/>
    <n v="138.44"/>
    <s v="m²"/>
    <n v="49.707079999999983"/>
    <n v="6881.4481551999979"/>
    <n v="32"/>
    <n v="33"/>
    <n v="0.40235935644098908"/>
    <n v="0.59764064355901092"/>
    <n v="2768.8150511083027"/>
    <n v="4112.6331040916948"/>
    <x v="53"/>
    <x v="37"/>
  </r>
  <r>
    <s v="2.6"/>
    <s v="PANO6"/>
    <m/>
    <x v="0"/>
    <s v="68.00 dias"/>
    <d v="2022-04-12T00:00:00"/>
    <d v="2022-07-14T00:00:00"/>
    <m/>
    <m/>
    <m/>
    <m/>
    <m/>
    <m/>
    <n v="21"/>
    <n v="34"/>
    <m/>
    <m/>
    <n v="0"/>
    <n v="0"/>
    <x v="54"/>
    <x v="21"/>
  </r>
  <r>
    <s v="2.6.7.1"/>
    <s v="Reboco Externo"/>
    <m/>
    <x v="4"/>
    <s v="5.00 dias"/>
    <d v="2022-04-12T00:00:00"/>
    <d v="2022-04-18T00:00:00"/>
    <m/>
    <m/>
    <n v="99.85"/>
    <s v="m²"/>
    <n v="111.22574674641417"/>
    <n v="11105.890812629455"/>
    <n v="21"/>
    <n v="22"/>
    <n v="0.31851905468495528"/>
    <n v="0.68148094531504466"/>
    <n v="3537.437843073064"/>
    <n v="7568.4529695563906"/>
    <x v="54"/>
    <x v="56"/>
  </r>
  <r>
    <s v="2.6.7.2"/>
    <s v="Pintura Externa "/>
    <m/>
    <x v="4"/>
    <s v="5.00 dias"/>
    <d v="2022-07-08T00:00:00"/>
    <d v="2022-07-14T00:00:00"/>
    <m/>
    <m/>
    <n v="99.85"/>
    <s v="m²"/>
    <n v="49.707079999999983"/>
    <n v="4963.2519379999985"/>
    <n v="33"/>
    <n v="34"/>
    <n v="0.40235935644098908"/>
    <n v="0.59764064355901092"/>
    <n v="1997.0108556281712"/>
    <n v="2966.2410823718274"/>
    <x v="55"/>
    <x v="2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4E4B152-6F07-4204-BB7F-B74CB5341425}" name="Tabela dinâmica1" cacheId="39" applyNumberFormats="0" applyBorderFormats="0" applyFontFormats="0" applyPatternFormats="0" applyAlignmentFormats="0" applyWidthHeightFormats="1" dataCaption="Valores" updatedVersion="7" minRefreshableVersion="3" useAutoFormatting="1" itemPrintTitles="1" createdVersion="7" indent="0" outline="1" outlineData="1" multipleFieldFilters="0">
  <location ref="A3:B44" firstHeaderRow="1" firstDataRow="1" firstDataCol="1" rowPageCount="1" colPageCount="1"/>
  <pivotFields count="20">
    <pivotField showAll="0"/>
    <pivotField showAll="0"/>
    <pivotField showAll="0">
      <items count="3">
        <item x="1"/>
        <item x="0"/>
        <item t="default"/>
      </items>
    </pivotField>
    <pivotField axis="axisPage" multipleItemSelectionAllowed="1" showAll="0">
      <items count="6">
        <item x="3"/>
        <item x="4"/>
        <item x="1"/>
        <item x="2"/>
        <item h="1" x="0"/>
        <item t="default"/>
      </items>
    </pivotField>
    <pivotField showAll="0"/>
    <pivotField numFmtId="14" showAll="0"/>
    <pivotField numFmtId="14" showAll="0"/>
    <pivotField showAll="0"/>
    <pivotField showAll="0"/>
    <pivotField numFmtId="8" showAll="0"/>
    <pivotField numFmtId="8" showAll="0"/>
    <pivotField showAll="0"/>
    <pivotField showAll="0"/>
    <pivotField numFmtId="9" showAll="0"/>
    <pivotField showAll="0"/>
    <pivotField showAll="0"/>
    <pivotField showAll="0"/>
    <pivotField dataField="1" showAll="0"/>
    <pivotField showAll="0"/>
    <pivotField axis="axisRow" showAll="0">
      <items count="41">
        <item x="2"/>
        <item x="3"/>
        <item x="4"/>
        <item x="5"/>
        <item x="1"/>
        <item x="7"/>
        <item x="8"/>
        <item x="25"/>
        <item x="26"/>
        <item x="36"/>
        <item x="37"/>
        <item x="9"/>
        <item x="27"/>
        <item x="10"/>
        <item x="28"/>
        <item x="38"/>
        <item x="11"/>
        <item x="12"/>
        <item x="29"/>
        <item x="13"/>
        <item x="30"/>
        <item x="14"/>
        <item x="31"/>
        <item x="39"/>
        <item x="15"/>
        <item x="16"/>
        <item x="32"/>
        <item x="17"/>
        <item x="18"/>
        <item x="19"/>
        <item x="33"/>
        <item x="20"/>
        <item x="21"/>
        <item x="22"/>
        <item x="34"/>
        <item x="23"/>
        <item x="6"/>
        <item x="24"/>
        <item x="35"/>
        <item x="0"/>
        <item t="default"/>
      </items>
    </pivotField>
  </pivotFields>
  <rowFields count="1">
    <field x="19"/>
  </rowFields>
  <rowItems count="4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 t="grand">
      <x/>
    </i>
  </rowItems>
  <colItems count="1">
    <i/>
  </colItems>
  <pageFields count="1">
    <pageField fld="3" hier="-1"/>
  </pageFields>
  <dataFields count="1">
    <dataField name="Soma de TOTAL" fld="17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240C76D-4F27-4B78-87BB-5AF9D5639338}" name="Tabela dinâmica3" cacheId="73" applyNumberFormats="0" applyBorderFormats="0" applyFontFormats="0" applyPatternFormats="0" applyAlignmentFormats="0" applyWidthHeightFormats="1" dataCaption="Valores" updatedVersion="7" minRefreshableVersion="3" useAutoFormatting="1" itemPrintTitles="1" createdVersion="7" indent="0" outline="1" outlineData="1" multipleFieldFilters="0">
  <location ref="E3:F16" firstHeaderRow="1" firstDataRow="1" firstDataCol="1" rowPageCount="1" colPageCount="1"/>
  <pivotFields count="25">
    <pivotField showAll="0"/>
    <pivotField showAll="0"/>
    <pivotField showAll="0"/>
    <pivotField axis="axisPage" multipleItemSelectionAllowed="1" showAll="0">
      <items count="6">
        <item x="3"/>
        <item x="4"/>
        <item x="1"/>
        <item x="2"/>
        <item h="1" x="0"/>
        <item t="default"/>
      </items>
    </pivotField>
    <pivotField showAll="0"/>
    <pivotField numFmtId="14" showAll="0"/>
    <pivotField numFmtId="14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axis="axisRow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showAll="0" defaultSubtotal="0"/>
    <pivotField showAll="0" defaultSubtotal="0"/>
    <pivotField showAll="0">
      <items count="7">
        <item sd="0" x="0"/>
        <item sd="0" x="1"/>
        <item sd="0" x="2"/>
        <item sd="0" x="3"/>
        <item sd="0" x="4"/>
        <item sd="0" x="5"/>
        <item t="default"/>
      </items>
    </pivotField>
    <pivotField axis="axisRow" showAll="0">
      <items count="5">
        <item sd="0" x="0"/>
        <item x="1"/>
        <item x="2"/>
        <item sd="0" x="3"/>
        <item t="default"/>
      </items>
    </pivotField>
  </pivotFields>
  <rowFields count="2">
    <field x="24"/>
    <field x="20"/>
  </rowFields>
  <rowItems count="13">
    <i>
      <x v="1"/>
    </i>
    <i r="1">
      <x v="12"/>
    </i>
    <i>
      <x v="2"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t="grand">
      <x/>
    </i>
  </rowItems>
  <colItems count="1">
    <i/>
  </colItems>
  <pageFields count="1">
    <pageField fld="3" hier="-1"/>
  </pageFields>
  <dataFields count="1">
    <dataField name="Soma de R$ MO" fld="18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AB3CA17-9DA3-4D92-97D4-6D56625422D8}" name="Tabela dinâmica2" cacheId="73" applyNumberFormats="0" applyBorderFormats="0" applyFontFormats="0" applyPatternFormats="0" applyAlignmentFormats="0" applyWidthHeightFormats="1" dataCaption="Valores" updatedVersion="7" minRefreshableVersion="3" useAutoFormatting="1" itemPrintTitles="1" createdVersion="7" indent="0" outline="1" outlineData="1" multipleFieldFilters="0">
  <location ref="A3:B16" firstHeaderRow="1" firstDataRow="1" firstDataCol="1" rowPageCount="1" colPageCount="1"/>
  <pivotFields count="25">
    <pivotField showAll="0"/>
    <pivotField showAll="0"/>
    <pivotField showAll="0"/>
    <pivotField axis="axisPage" multipleItemSelectionAllowed="1" showAll="0">
      <items count="6">
        <item x="3"/>
        <item x="4"/>
        <item x="1"/>
        <item x="2"/>
        <item h="1" x="0"/>
        <item t="default"/>
      </items>
    </pivotField>
    <pivotField showAll="0"/>
    <pivotField numFmtId="14" showAll="0"/>
    <pivotField numFmtId="14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axis="axisRow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showAll="0">
      <items count="7">
        <item sd="0" x="0"/>
        <item sd="0" x="1"/>
        <item sd="0" x="2"/>
        <item sd="0" x="3"/>
        <item sd="0" x="4"/>
        <item sd="0" x="5"/>
        <item t="default"/>
      </items>
    </pivotField>
    <pivotField axis="axisRow" showAll="0">
      <items count="5">
        <item sd="0" x="0"/>
        <item x="1"/>
        <item x="2"/>
        <item sd="0" x="3"/>
        <item t="default"/>
      </items>
    </pivotField>
    <pivotField showAll="0">
      <items count="7">
        <item x="0"/>
        <item x="1"/>
        <item x="2"/>
        <item x="3"/>
        <item x="4"/>
        <item x="5"/>
        <item t="default"/>
      </items>
    </pivotField>
    <pivotField showAll="0">
      <items count="5">
        <item x="0"/>
        <item x="1"/>
        <item x="2"/>
        <item x="3"/>
        <item t="default"/>
      </items>
    </pivotField>
  </pivotFields>
  <rowFields count="2">
    <field x="22"/>
    <field x="19"/>
  </rowFields>
  <rowItems count="13">
    <i>
      <x v="1"/>
    </i>
    <i r="1">
      <x v="11"/>
    </i>
    <i r="1">
      <x v="12"/>
    </i>
    <i>
      <x v="2"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t="grand">
      <x/>
    </i>
  </rowItems>
  <colItems count="1">
    <i/>
  </colItems>
  <pageFields count="1">
    <pageField fld="3" hier="-1"/>
  </pageFields>
  <dataFields count="1">
    <dataField name="Soma de R$ MAT" fld="17" baseField="0" baseItem="0"/>
  </dataFields>
  <formats count="3">
    <format dxfId="8">
      <pivotArea dataOnly="0" labelOnly="1" fieldPosition="0">
        <references count="1">
          <reference field="22" count="1">
            <x v="2"/>
          </reference>
        </references>
      </pivotArea>
    </format>
    <format dxfId="7">
      <pivotArea dataOnly="0" labelOnly="1" fieldPosition="0">
        <references count="2">
          <reference field="19" count="2">
            <x v="11"/>
            <x v="12"/>
          </reference>
          <reference field="22" count="1" selected="0">
            <x v="1"/>
          </reference>
        </references>
      </pivotArea>
    </format>
    <format dxfId="6">
      <pivotArea dataOnly="0" labelOnly="1" fieldPosition="0">
        <references count="2">
          <reference field="19" count="8">
            <x v="1"/>
            <x v="2"/>
            <x v="3"/>
            <x v="4"/>
            <x v="5"/>
            <x v="6"/>
            <x v="7"/>
            <x v="8"/>
          </reference>
          <reference field="22" count="1" selected="0">
            <x v="2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pivotTable" Target="../pivotTables/pivotTable3.xml"/><Relationship Id="rId1" Type="http://schemas.openxmlformats.org/officeDocument/2006/relationships/pivotTable" Target="../pivotTables/pivotTable2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D301"/>
  <sheetViews>
    <sheetView zoomScale="85" zoomScaleNormal="85" workbookViewId="0">
      <selection activeCell="B2" sqref="B2:B301"/>
    </sheetView>
  </sheetViews>
  <sheetFormatPr defaultRowHeight="15"/>
  <cols>
    <col min="2" max="2" width="10.140625" style="4" customWidth="1"/>
    <col min="3" max="3" width="9.140625" style="3"/>
  </cols>
  <sheetData>
    <row r="1" spans="2:4">
      <c r="B1" s="2">
        <v>44522</v>
      </c>
      <c r="C1" s="3">
        <v>1</v>
      </c>
      <c r="D1" t="s">
        <v>190</v>
      </c>
    </row>
    <row r="2" spans="2:4">
      <c r="B2" s="4">
        <f>B1+1</f>
        <v>44523</v>
      </c>
      <c r="C2" s="3">
        <v>1</v>
      </c>
      <c r="D2" t="s">
        <v>191</v>
      </c>
    </row>
    <row r="3" spans="2:4">
      <c r="B3" s="4">
        <f t="shared" ref="B3:B66" si="0">B2+1</f>
        <v>44524</v>
      </c>
      <c r="C3" s="3">
        <v>1</v>
      </c>
      <c r="D3" t="s">
        <v>192</v>
      </c>
    </row>
    <row r="4" spans="2:4">
      <c r="B4" s="4">
        <f t="shared" si="0"/>
        <v>44525</v>
      </c>
      <c r="C4" s="3">
        <v>1</v>
      </c>
      <c r="D4" t="s">
        <v>193</v>
      </c>
    </row>
    <row r="5" spans="2:4">
      <c r="B5" s="4">
        <f t="shared" si="0"/>
        <v>44526</v>
      </c>
      <c r="C5" s="3">
        <v>1</v>
      </c>
      <c r="D5" t="s">
        <v>194</v>
      </c>
    </row>
    <row r="6" spans="2:4">
      <c r="B6" s="4">
        <f t="shared" si="0"/>
        <v>44527</v>
      </c>
      <c r="C6" s="3">
        <v>1</v>
      </c>
      <c r="D6" t="s">
        <v>195</v>
      </c>
    </row>
    <row r="7" spans="2:4">
      <c r="B7" s="4">
        <f t="shared" si="0"/>
        <v>44528</v>
      </c>
      <c r="C7" s="3">
        <v>1</v>
      </c>
      <c r="D7" t="s">
        <v>196</v>
      </c>
    </row>
    <row r="8" spans="2:4">
      <c r="B8" s="4">
        <f t="shared" si="0"/>
        <v>44529</v>
      </c>
      <c r="C8" s="3">
        <f>C1+1</f>
        <v>2</v>
      </c>
      <c r="D8" t="s">
        <v>190</v>
      </c>
    </row>
    <row r="9" spans="2:4">
      <c r="B9" s="4">
        <f t="shared" si="0"/>
        <v>44530</v>
      </c>
      <c r="C9" s="3">
        <f t="shared" ref="C9:C72" si="1">C2+1</f>
        <v>2</v>
      </c>
      <c r="D9" t="s">
        <v>191</v>
      </c>
    </row>
    <row r="10" spans="2:4">
      <c r="B10" s="4">
        <f t="shared" si="0"/>
        <v>44531</v>
      </c>
      <c r="C10" s="3">
        <f t="shared" si="1"/>
        <v>2</v>
      </c>
      <c r="D10" t="s">
        <v>192</v>
      </c>
    </row>
    <row r="11" spans="2:4">
      <c r="B11" s="4">
        <f t="shared" si="0"/>
        <v>44532</v>
      </c>
      <c r="C11" s="3">
        <f t="shared" si="1"/>
        <v>2</v>
      </c>
      <c r="D11" t="s">
        <v>193</v>
      </c>
    </row>
    <row r="12" spans="2:4">
      <c r="B12" s="4">
        <f t="shared" si="0"/>
        <v>44533</v>
      </c>
      <c r="C12" s="3">
        <f t="shared" si="1"/>
        <v>2</v>
      </c>
      <c r="D12" t="s">
        <v>194</v>
      </c>
    </row>
    <row r="13" spans="2:4">
      <c r="B13" s="4">
        <f t="shared" si="0"/>
        <v>44534</v>
      </c>
      <c r="C13" s="3">
        <f t="shared" si="1"/>
        <v>2</v>
      </c>
      <c r="D13" t="s">
        <v>195</v>
      </c>
    </row>
    <row r="14" spans="2:4">
      <c r="B14" s="4">
        <f t="shared" si="0"/>
        <v>44535</v>
      </c>
      <c r="C14" s="3">
        <f t="shared" si="1"/>
        <v>2</v>
      </c>
      <c r="D14" t="s">
        <v>196</v>
      </c>
    </row>
    <row r="15" spans="2:4">
      <c r="B15" s="4">
        <f t="shared" si="0"/>
        <v>44536</v>
      </c>
      <c r="C15" s="3">
        <f t="shared" si="1"/>
        <v>3</v>
      </c>
      <c r="D15" t="s">
        <v>190</v>
      </c>
    </row>
    <row r="16" spans="2:4">
      <c r="B16" s="4">
        <f t="shared" si="0"/>
        <v>44537</v>
      </c>
      <c r="C16" s="3">
        <f t="shared" si="1"/>
        <v>3</v>
      </c>
      <c r="D16" t="s">
        <v>191</v>
      </c>
    </row>
    <row r="17" spans="2:4">
      <c r="B17" s="4">
        <f t="shared" si="0"/>
        <v>44538</v>
      </c>
      <c r="C17" s="3">
        <f t="shared" si="1"/>
        <v>3</v>
      </c>
      <c r="D17" t="s">
        <v>192</v>
      </c>
    </row>
    <row r="18" spans="2:4">
      <c r="B18" s="4">
        <f t="shared" si="0"/>
        <v>44539</v>
      </c>
      <c r="C18" s="3">
        <f t="shared" si="1"/>
        <v>3</v>
      </c>
      <c r="D18" t="s">
        <v>193</v>
      </c>
    </row>
    <row r="19" spans="2:4">
      <c r="B19" s="4">
        <f t="shared" si="0"/>
        <v>44540</v>
      </c>
      <c r="C19" s="3">
        <f t="shared" si="1"/>
        <v>3</v>
      </c>
      <c r="D19" t="s">
        <v>194</v>
      </c>
    </row>
    <row r="20" spans="2:4">
      <c r="B20" s="4">
        <f t="shared" si="0"/>
        <v>44541</v>
      </c>
      <c r="C20" s="3">
        <f t="shared" si="1"/>
        <v>3</v>
      </c>
      <c r="D20" t="s">
        <v>195</v>
      </c>
    </row>
    <row r="21" spans="2:4">
      <c r="B21" s="4">
        <f t="shared" si="0"/>
        <v>44542</v>
      </c>
      <c r="C21" s="3">
        <f t="shared" si="1"/>
        <v>3</v>
      </c>
      <c r="D21" t="s">
        <v>196</v>
      </c>
    </row>
    <row r="22" spans="2:4">
      <c r="B22" s="4">
        <f t="shared" si="0"/>
        <v>44543</v>
      </c>
      <c r="C22" s="3">
        <f t="shared" si="1"/>
        <v>4</v>
      </c>
      <c r="D22" t="s">
        <v>190</v>
      </c>
    </row>
    <row r="23" spans="2:4">
      <c r="B23" s="4">
        <f t="shared" si="0"/>
        <v>44544</v>
      </c>
      <c r="C23" s="3">
        <f t="shared" si="1"/>
        <v>4</v>
      </c>
      <c r="D23" t="s">
        <v>191</v>
      </c>
    </row>
    <row r="24" spans="2:4">
      <c r="B24" s="4">
        <f t="shared" si="0"/>
        <v>44545</v>
      </c>
      <c r="C24" s="3">
        <f t="shared" si="1"/>
        <v>4</v>
      </c>
      <c r="D24" t="s">
        <v>192</v>
      </c>
    </row>
    <row r="25" spans="2:4">
      <c r="B25" s="4">
        <f t="shared" si="0"/>
        <v>44546</v>
      </c>
      <c r="C25" s="3">
        <f t="shared" si="1"/>
        <v>4</v>
      </c>
      <c r="D25" t="s">
        <v>193</v>
      </c>
    </row>
    <row r="26" spans="2:4">
      <c r="B26" s="4">
        <f t="shared" si="0"/>
        <v>44547</v>
      </c>
      <c r="C26" s="3">
        <f t="shared" si="1"/>
        <v>4</v>
      </c>
      <c r="D26" t="s">
        <v>194</v>
      </c>
    </row>
    <row r="27" spans="2:4">
      <c r="B27" s="4">
        <f t="shared" si="0"/>
        <v>44548</v>
      </c>
      <c r="C27" s="3">
        <f t="shared" si="1"/>
        <v>4</v>
      </c>
      <c r="D27" t="s">
        <v>195</v>
      </c>
    </row>
    <row r="28" spans="2:4">
      <c r="B28" s="4">
        <f t="shared" si="0"/>
        <v>44549</v>
      </c>
      <c r="C28" s="3">
        <f t="shared" si="1"/>
        <v>4</v>
      </c>
      <c r="D28" t="s">
        <v>196</v>
      </c>
    </row>
    <row r="29" spans="2:4">
      <c r="B29" s="4">
        <f t="shared" si="0"/>
        <v>44550</v>
      </c>
      <c r="C29" s="3">
        <f t="shared" si="1"/>
        <v>5</v>
      </c>
      <c r="D29" t="s">
        <v>190</v>
      </c>
    </row>
    <row r="30" spans="2:4">
      <c r="B30" s="4">
        <f t="shared" si="0"/>
        <v>44551</v>
      </c>
      <c r="C30" s="3">
        <f t="shared" si="1"/>
        <v>5</v>
      </c>
      <c r="D30" t="s">
        <v>191</v>
      </c>
    </row>
    <row r="31" spans="2:4">
      <c r="B31" s="4">
        <f t="shared" si="0"/>
        <v>44552</v>
      </c>
      <c r="C31" s="3">
        <f t="shared" si="1"/>
        <v>5</v>
      </c>
      <c r="D31" t="s">
        <v>192</v>
      </c>
    </row>
    <row r="32" spans="2:4">
      <c r="B32" s="4">
        <f t="shared" si="0"/>
        <v>44553</v>
      </c>
      <c r="C32" s="3">
        <f t="shared" si="1"/>
        <v>5</v>
      </c>
      <c r="D32" t="s">
        <v>193</v>
      </c>
    </row>
    <row r="33" spans="2:4">
      <c r="B33" s="4">
        <f t="shared" si="0"/>
        <v>44554</v>
      </c>
      <c r="C33" s="3">
        <f t="shared" si="1"/>
        <v>5</v>
      </c>
      <c r="D33" t="s">
        <v>194</v>
      </c>
    </row>
    <row r="34" spans="2:4">
      <c r="B34" s="4">
        <f t="shared" si="0"/>
        <v>44555</v>
      </c>
      <c r="C34" s="3">
        <f t="shared" si="1"/>
        <v>5</v>
      </c>
      <c r="D34" t="s">
        <v>195</v>
      </c>
    </row>
    <row r="35" spans="2:4">
      <c r="B35" s="4">
        <f t="shared" si="0"/>
        <v>44556</v>
      </c>
      <c r="C35" s="3">
        <f t="shared" si="1"/>
        <v>5</v>
      </c>
      <c r="D35" t="s">
        <v>196</v>
      </c>
    </row>
    <row r="36" spans="2:4">
      <c r="B36" s="4">
        <f t="shared" si="0"/>
        <v>44557</v>
      </c>
      <c r="C36" s="3">
        <f t="shared" si="1"/>
        <v>6</v>
      </c>
      <c r="D36" t="s">
        <v>190</v>
      </c>
    </row>
    <row r="37" spans="2:4">
      <c r="B37" s="4">
        <f t="shared" si="0"/>
        <v>44558</v>
      </c>
      <c r="C37" s="3">
        <f t="shared" si="1"/>
        <v>6</v>
      </c>
      <c r="D37" t="s">
        <v>191</v>
      </c>
    </row>
    <row r="38" spans="2:4">
      <c r="B38" s="4">
        <f t="shared" si="0"/>
        <v>44559</v>
      </c>
      <c r="C38" s="3">
        <f t="shared" si="1"/>
        <v>6</v>
      </c>
      <c r="D38" t="s">
        <v>192</v>
      </c>
    </row>
    <row r="39" spans="2:4">
      <c r="B39" s="4">
        <f t="shared" si="0"/>
        <v>44560</v>
      </c>
      <c r="C39" s="3">
        <f t="shared" si="1"/>
        <v>6</v>
      </c>
      <c r="D39" t="s">
        <v>193</v>
      </c>
    </row>
    <row r="40" spans="2:4">
      <c r="B40" s="4">
        <f t="shared" si="0"/>
        <v>44561</v>
      </c>
      <c r="C40" s="3">
        <f t="shared" si="1"/>
        <v>6</v>
      </c>
      <c r="D40" t="s">
        <v>194</v>
      </c>
    </row>
    <row r="41" spans="2:4">
      <c r="B41" s="4">
        <f t="shared" si="0"/>
        <v>44562</v>
      </c>
      <c r="C41" s="3">
        <f t="shared" si="1"/>
        <v>6</v>
      </c>
      <c r="D41" t="s">
        <v>195</v>
      </c>
    </row>
    <row r="42" spans="2:4">
      <c r="B42" s="4">
        <f t="shared" si="0"/>
        <v>44563</v>
      </c>
      <c r="C42" s="3">
        <f t="shared" si="1"/>
        <v>6</v>
      </c>
      <c r="D42" t="s">
        <v>196</v>
      </c>
    </row>
    <row r="43" spans="2:4">
      <c r="B43" s="4">
        <f t="shared" si="0"/>
        <v>44564</v>
      </c>
      <c r="C43" s="3">
        <f t="shared" si="1"/>
        <v>7</v>
      </c>
      <c r="D43" t="s">
        <v>190</v>
      </c>
    </row>
    <row r="44" spans="2:4">
      <c r="B44" s="4">
        <f t="shared" si="0"/>
        <v>44565</v>
      </c>
      <c r="C44" s="3">
        <f t="shared" si="1"/>
        <v>7</v>
      </c>
      <c r="D44" t="s">
        <v>191</v>
      </c>
    </row>
    <row r="45" spans="2:4">
      <c r="B45" s="4">
        <f t="shared" si="0"/>
        <v>44566</v>
      </c>
      <c r="C45" s="3">
        <f t="shared" si="1"/>
        <v>7</v>
      </c>
      <c r="D45" t="s">
        <v>192</v>
      </c>
    </row>
    <row r="46" spans="2:4">
      <c r="B46" s="4">
        <f t="shared" si="0"/>
        <v>44567</v>
      </c>
      <c r="C46" s="3">
        <f t="shared" si="1"/>
        <v>7</v>
      </c>
      <c r="D46" t="s">
        <v>193</v>
      </c>
    </row>
    <row r="47" spans="2:4">
      <c r="B47" s="4">
        <f t="shared" si="0"/>
        <v>44568</v>
      </c>
      <c r="C47" s="3">
        <f t="shared" si="1"/>
        <v>7</v>
      </c>
      <c r="D47" t="s">
        <v>194</v>
      </c>
    </row>
    <row r="48" spans="2:4">
      <c r="B48" s="4">
        <f t="shared" si="0"/>
        <v>44569</v>
      </c>
      <c r="C48" s="3">
        <f t="shared" si="1"/>
        <v>7</v>
      </c>
      <c r="D48" t="s">
        <v>195</v>
      </c>
    </row>
    <row r="49" spans="2:4">
      <c r="B49" s="4">
        <f t="shared" si="0"/>
        <v>44570</v>
      </c>
      <c r="C49" s="3">
        <f t="shared" si="1"/>
        <v>7</v>
      </c>
      <c r="D49" t="s">
        <v>196</v>
      </c>
    </row>
    <row r="50" spans="2:4">
      <c r="B50" s="4">
        <f t="shared" si="0"/>
        <v>44571</v>
      </c>
      <c r="C50" s="3">
        <f t="shared" si="1"/>
        <v>8</v>
      </c>
      <c r="D50" t="s">
        <v>190</v>
      </c>
    </row>
    <row r="51" spans="2:4">
      <c r="B51" s="4">
        <f t="shared" si="0"/>
        <v>44572</v>
      </c>
      <c r="C51" s="3">
        <f t="shared" si="1"/>
        <v>8</v>
      </c>
      <c r="D51" t="s">
        <v>191</v>
      </c>
    </row>
    <row r="52" spans="2:4">
      <c r="B52" s="4">
        <f t="shared" si="0"/>
        <v>44573</v>
      </c>
      <c r="C52" s="3">
        <f t="shared" si="1"/>
        <v>8</v>
      </c>
      <c r="D52" t="s">
        <v>192</v>
      </c>
    </row>
    <row r="53" spans="2:4">
      <c r="B53" s="4">
        <f t="shared" si="0"/>
        <v>44574</v>
      </c>
      <c r="C53" s="3">
        <f t="shared" si="1"/>
        <v>8</v>
      </c>
      <c r="D53" t="s">
        <v>193</v>
      </c>
    </row>
    <row r="54" spans="2:4">
      <c r="B54" s="4">
        <f t="shared" si="0"/>
        <v>44575</v>
      </c>
      <c r="C54" s="3">
        <f t="shared" si="1"/>
        <v>8</v>
      </c>
      <c r="D54" t="s">
        <v>194</v>
      </c>
    </row>
    <row r="55" spans="2:4">
      <c r="B55" s="4">
        <f t="shared" si="0"/>
        <v>44576</v>
      </c>
      <c r="C55" s="3">
        <f t="shared" si="1"/>
        <v>8</v>
      </c>
      <c r="D55" t="s">
        <v>195</v>
      </c>
    </row>
    <row r="56" spans="2:4">
      <c r="B56" s="4">
        <f t="shared" si="0"/>
        <v>44577</v>
      </c>
      <c r="C56" s="3">
        <f t="shared" si="1"/>
        <v>8</v>
      </c>
      <c r="D56" t="s">
        <v>196</v>
      </c>
    </row>
    <row r="57" spans="2:4">
      <c r="B57" s="4">
        <f t="shared" si="0"/>
        <v>44578</v>
      </c>
      <c r="C57" s="3">
        <f t="shared" si="1"/>
        <v>9</v>
      </c>
      <c r="D57" t="s">
        <v>190</v>
      </c>
    </row>
    <row r="58" spans="2:4">
      <c r="B58" s="4">
        <f t="shared" si="0"/>
        <v>44579</v>
      </c>
      <c r="C58" s="3">
        <f t="shared" si="1"/>
        <v>9</v>
      </c>
      <c r="D58" t="s">
        <v>191</v>
      </c>
    </row>
    <row r="59" spans="2:4">
      <c r="B59" s="4">
        <f t="shared" si="0"/>
        <v>44580</v>
      </c>
      <c r="C59" s="3">
        <f t="shared" si="1"/>
        <v>9</v>
      </c>
      <c r="D59" t="s">
        <v>192</v>
      </c>
    </row>
    <row r="60" spans="2:4">
      <c r="B60" s="4">
        <f t="shared" si="0"/>
        <v>44581</v>
      </c>
      <c r="C60" s="3">
        <f t="shared" si="1"/>
        <v>9</v>
      </c>
      <c r="D60" t="s">
        <v>193</v>
      </c>
    </row>
    <row r="61" spans="2:4">
      <c r="B61" s="4">
        <f t="shared" si="0"/>
        <v>44582</v>
      </c>
      <c r="C61" s="3">
        <f t="shared" si="1"/>
        <v>9</v>
      </c>
      <c r="D61" t="s">
        <v>194</v>
      </c>
    </row>
    <row r="62" spans="2:4">
      <c r="B62" s="4">
        <f t="shared" si="0"/>
        <v>44583</v>
      </c>
      <c r="C62" s="3">
        <f t="shared" si="1"/>
        <v>9</v>
      </c>
      <c r="D62" t="s">
        <v>195</v>
      </c>
    </row>
    <row r="63" spans="2:4">
      <c r="B63" s="4">
        <f t="shared" si="0"/>
        <v>44584</v>
      </c>
      <c r="C63" s="3">
        <f t="shared" si="1"/>
        <v>9</v>
      </c>
      <c r="D63" t="s">
        <v>196</v>
      </c>
    </row>
    <row r="64" spans="2:4">
      <c r="B64" s="4">
        <f t="shared" si="0"/>
        <v>44585</v>
      </c>
      <c r="C64" s="3">
        <f t="shared" si="1"/>
        <v>10</v>
      </c>
      <c r="D64" t="s">
        <v>190</v>
      </c>
    </row>
    <row r="65" spans="2:4">
      <c r="B65" s="4">
        <f t="shared" si="0"/>
        <v>44586</v>
      </c>
      <c r="C65" s="3">
        <f t="shared" si="1"/>
        <v>10</v>
      </c>
      <c r="D65" t="s">
        <v>191</v>
      </c>
    </row>
    <row r="66" spans="2:4">
      <c r="B66" s="4">
        <f t="shared" si="0"/>
        <v>44587</v>
      </c>
      <c r="C66" s="3">
        <f t="shared" si="1"/>
        <v>10</v>
      </c>
      <c r="D66" t="s">
        <v>192</v>
      </c>
    </row>
    <row r="67" spans="2:4">
      <c r="B67" s="4">
        <f t="shared" ref="B67:B130" si="2">B66+1</f>
        <v>44588</v>
      </c>
      <c r="C67" s="3">
        <f t="shared" si="1"/>
        <v>10</v>
      </c>
      <c r="D67" t="s">
        <v>193</v>
      </c>
    </row>
    <row r="68" spans="2:4">
      <c r="B68" s="4">
        <f t="shared" si="2"/>
        <v>44589</v>
      </c>
      <c r="C68" s="3">
        <f t="shared" si="1"/>
        <v>10</v>
      </c>
      <c r="D68" t="s">
        <v>194</v>
      </c>
    </row>
    <row r="69" spans="2:4">
      <c r="B69" s="4">
        <f t="shared" si="2"/>
        <v>44590</v>
      </c>
      <c r="C69" s="3">
        <f t="shared" si="1"/>
        <v>10</v>
      </c>
      <c r="D69" t="s">
        <v>195</v>
      </c>
    </row>
    <row r="70" spans="2:4">
      <c r="B70" s="4">
        <f t="shared" si="2"/>
        <v>44591</v>
      </c>
      <c r="C70" s="3">
        <f t="shared" si="1"/>
        <v>10</v>
      </c>
      <c r="D70" t="s">
        <v>196</v>
      </c>
    </row>
    <row r="71" spans="2:4">
      <c r="B71" s="4">
        <f t="shared" si="2"/>
        <v>44592</v>
      </c>
      <c r="C71" s="3">
        <f t="shared" si="1"/>
        <v>11</v>
      </c>
      <c r="D71" t="s">
        <v>190</v>
      </c>
    </row>
    <row r="72" spans="2:4">
      <c r="B72" s="4">
        <f t="shared" si="2"/>
        <v>44593</v>
      </c>
      <c r="C72" s="3">
        <f t="shared" si="1"/>
        <v>11</v>
      </c>
      <c r="D72" t="s">
        <v>191</v>
      </c>
    </row>
    <row r="73" spans="2:4">
      <c r="B73" s="4">
        <f t="shared" si="2"/>
        <v>44594</v>
      </c>
      <c r="C73" s="3">
        <f t="shared" ref="C73:C136" si="3">C66+1</f>
        <v>11</v>
      </c>
      <c r="D73" t="s">
        <v>192</v>
      </c>
    </row>
    <row r="74" spans="2:4">
      <c r="B74" s="4">
        <f t="shared" si="2"/>
        <v>44595</v>
      </c>
      <c r="C74" s="3">
        <f t="shared" si="3"/>
        <v>11</v>
      </c>
      <c r="D74" t="s">
        <v>193</v>
      </c>
    </row>
    <row r="75" spans="2:4">
      <c r="B75" s="4">
        <f t="shared" si="2"/>
        <v>44596</v>
      </c>
      <c r="C75" s="3">
        <f t="shared" si="3"/>
        <v>11</v>
      </c>
      <c r="D75" t="s">
        <v>194</v>
      </c>
    </row>
    <row r="76" spans="2:4">
      <c r="B76" s="4">
        <f t="shared" si="2"/>
        <v>44597</v>
      </c>
      <c r="C76" s="3">
        <f t="shared" si="3"/>
        <v>11</v>
      </c>
      <c r="D76" t="s">
        <v>195</v>
      </c>
    </row>
    <row r="77" spans="2:4">
      <c r="B77" s="4">
        <f t="shared" si="2"/>
        <v>44598</v>
      </c>
      <c r="C77" s="3">
        <f t="shared" si="3"/>
        <v>11</v>
      </c>
      <c r="D77" t="s">
        <v>196</v>
      </c>
    </row>
    <row r="78" spans="2:4">
      <c r="B78" s="4">
        <f t="shared" si="2"/>
        <v>44599</v>
      </c>
      <c r="C78" s="3">
        <f t="shared" si="3"/>
        <v>12</v>
      </c>
      <c r="D78" t="s">
        <v>190</v>
      </c>
    </row>
    <row r="79" spans="2:4">
      <c r="B79" s="4">
        <f t="shared" si="2"/>
        <v>44600</v>
      </c>
      <c r="C79" s="3">
        <f t="shared" si="3"/>
        <v>12</v>
      </c>
      <c r="D79" t="s">
        <v>191</v>
      </c>
    </row>
    <row r="80" spans="2:4">
      <c r="B80" s="4">
        <f t="shared" si="2"/>
        <v>44601</v>
      </c>
      <c r="C80" s="3">
        <f t="shared" si="3"/>
        <v>12</v>
      </c>
      <c r="D80" t="s">
        <v>192</v>
      </c>
    </row>
    <row r="81" spans="2:4">
      <c r="B81" s="4">
        <f t="shared" si="2"/>
        <v>44602</v>
      </c>
      <c r="C81" s="3">
        <f t="shared" si="3"/>
        <v>12</v>
      </c>
      <c r="D81" t="s">
        <v>193</v>
      </c>
    </row>
    <row r="82" spans="2:4">
      <c r="B82" s="4">
        <f t="shared" si="2"/>
        <v>44603</v>
      </c>
      <c r="C82" s="3">
        <f t="shared" si="3"/>
        <v>12</v>
      </c>
      <c r="D82" t="s">
        <v>194</v>
      </c>
    </row>
    <row r="83" spans="2:4">
      <c r="B83" s="4">
        <f t="shared" si="2"/>
        <v>44604</v>
      </c>
      <c r="C83" s="3">
        <f t="shared" si="3"/>
        <v>12</v>
      </c>
      <c r="D83" t="s">
        <v>195</v>
      </c>
    </row>
    <row r="84" spans="2:4">
      <c r="B84" s="4">
        <f t="shared" si="2"/>
        <v>44605</v>
      </c>
      <c r="C84" s="3">
        <f t="shared" si="3"/>
        <v>12</v>
      </c>
      <c r="D84" t="s">
        <v>196</v>
      </c>
    </row>
    <row r="85" spans="2:4">
      <c r="B85" s="4">
        <f t="shared" si="2"/>
        <v>44606</v>
      </c>
      <c r="C85" s="3">
        <f t="shared" si="3"/>
        <v>13</v>
      </c>
      <c r="D85" t="s">
        <v>190</v>
      </c>
    </row>
    <row r="86" spans="2:4">
      <c r="B86" s="4">
        <f t="shared" si="2"/>
        <v>44607</v>
      </c>
      <c r="C86" s="3">
        <f t="shared" si="3"/>
        <v>13</v>
      </c>
      <c r="D86" t="s">
        <v>191</v>
      </c>
    </row>
    <row r="87" spans="2:4">
      <c r="B87" s="4">
        <f t="shared" si="2"/>
        <v>44608</v>
      </c>
      <c r="C87" s="3">
        <f t="shared" si="3"/>
        <v>13</v>
      </c>
      <c r="D87" t="s">
        <v>192</v>
      </c>
    </row>
    <row r="88" spans="2:4">
      <c r="B88" s="4">
        <f t="shared" si="2"/>
        <v>44609</v>
      </c>
      <c r="C88" s="3">
        <f t="shared" si="3"/>
        <v>13</v>
      </c>
      <c r="D88" t="s">
        <v>193</v>
      </c>
    </row>
    <row r="89" spans="2:4">
      <c r="B89" s="4">
        <f t="shared" si="2"/>
        <v>44610</v>
      </c>
      <c r="C89" s="3">
        <f t="shared" si="3"/>
        <v>13</v>
      </c>
      <c r="D89" t="s">
        <v>194</v>
      </c>
    </row>
    <row r="90" spans="2:4">
      <c r="B90" s="4">
        <f t="shared" si="2"/>
        <v>44611</v>
      </c>
      <c r="C90" s="3">
        <f t="shared" si="3"/>
        <v>13</v>
      </c>
      <c r="D90" t="s">
        <v>195</v>
      </c>
    </row>
    <row r="91" spans="2:4">
      <c r="B91" s="4">
        <f t="shared" si="2"/>
        <v>44612</v>
      </c>
      <c r="C91" s="3">
        <f t="shared" si="3"/>
        <v>13</v>
      </c>
      <c r="D91" t="s">
        <v>196</v>
      </c>
    </row>
    <row r="92" spans="2:4">
      <c r="B92" s="4">
        <f t="shared" si="2"/>
        <v>44613</v>
      </c>
      <c r="C92" s="3">
        <f t="shared" si="3"/>
        <v>14</v>
      </c>
      <c r="D92" t="s">
        <v>190</v>
      </c>
    </row>
    <row r="93" spans="2:4">
      <c r="B93" s="4">
        <f t="shared" si="2"/>
        <v>44614</v>
      </c>
      <c r="C93" s="3">
        <f t="shared" si="3"/>
        <v>14</v>
      </c>
      <c r="D93" t="s">
        <v>191</v>
      </c>
    </row>
    <row r="94" spans="2:4">
      <c r="B94" s="4">
        <f t="shared" si="2"/>
        <v>44615</v>
      </c>
      <c r="C94" s="3">
        <f t="shared" si="3"/>
        <v>14</v>
      </c>
      <c r="D94" t="s">
        <v>192</v>
      </c>
    </row>
    <row r="95" spans="2:4">
      <c r="B95" s="4">
        <f t="shared" si="2"/>
        <v>44616</v>
      </c>
      <c r="C95" s="3">
        <f t="shared" si="3"/>
        <v>14</v>
      </c>
      <c r="D95" t="s">
        <v>193</v>
      </c>
    </row>
    <row r="96" spans="2:4">
      <c r="B96" s="4">
        <f t="shared" si="2"/>
        <v>44617</v>
      </c>
      <c r="C96" s="3">
        <f t="shared" si="3"/>
        <v>14</v>
      </c>
      <c r="D96" t="s">
        <v>194</v>
      </c>
    </row>
    <row r="97" spans="2:4">
      <c r="B97" s="4">
        <f t="shared" si="2"/>
        <v>44618</v>
      </c>
      <c r="C97" s="3">
        <f t="shared" si="3"/>
        <v>14</v>
      </c>
      <c r="D97" t="s">
        <v>195</v>
      </c>
    </row>
    <row r="98" spans="2:4">
      <c r="B98" s="4">
        <f t="shared" si="2"/>
        <v>44619</v>
      </c>
      <c r="C98" s="3">
        <f t="shared" si="3"/>
        <v>14</v>
      </c>
      <c r="D98" t="s">
        <v>196</v>
      </c>
    </row>
    <row r="99" spans="2:4">
      <c r="B99" s="4">
        <f t="shared" si="2"/>
        <v>44620</v>
      </c>
      <c r="C99" s="3">
        <f t="shared" si="3"/>
        <v>15</v>
      </c>
      <c r="D99" t="s">
        <v>190</v>
      </c>
    </row>
    <row r="100" spans="2:4">
      <c r="B100" s="4">
        <f t="shared" si="2"/>
        <v>44621</v>
      </c>
      <c r="C100" s="3">
        <f t="shared" si="3"/>
        <v>15</v>
      </c>
      <c r="D100" t="s">
        <v>191</v>
      </c>
    </row>
    <row r="101" spans="2:4">
      <c r="B101" s="4">
        <f t="shared" si="2"/>
        <v>44622</v>
      </c>
      <c r="C101" s="3">
        <f t="shared" si="3"/>
        <v>15</v>
      </c>
      <c r="D101" t="s">
        <v>192</v>
      </c>
    </row>
    <row r="102" spans="2:4">
      <c r="B102" s="4">
        <f t="shared" si="2"/>
        <v>44623</v>
      </c>
      <c r="C102" s="3">
        <f t="shared" si="3"/>
        <v>15</v>
      </c>
      <c r="D102" t="s">
        <v>193</v>
      </c>
    </row>
    <row r="103" spans="2:4">
      <c r="B103" s="4">
        <f t="shared" si="2"/>
        <v>44624</v>
      </c>
      <c r="C103" s="3">
        <f t="shared" si="3"/>
        <v>15</v>
      </c>
      <c r="D103" t="s">
        <v>194</v>
      </c>
    </row>
    <row r="104" spans="2:4">
      <c r="B104" s="4">
        <f t="shared" si="2"/>
        <v>44625</v>
      </c>
      <c r="C104" s="3">
        <f t="shared" si="3"/>
        <v>15</v>
      </c>
      <c r="D104" t="s">
        <v>195</v>
      </c>
    </row>
    <row r="105" spans="2:4">
      <c r="B105" s="4">
        <f t="shared" si="2"/>
        <v>44626</v>
      </c>
      <c r="C105" s="3">
        <f t="shared" si="3"/>
        <v>15</v>
      </c>
      <c r="D105" t="s">
        <v>196</v>
      </c>
    </row>
    <row r="106" spans="2:4">
      <c r="B106" s="4">
        <f t="shared" si="2"/>
        <v>44627</v>
      </c>
      <c r="C106" s="3">
        <f t="shared" si="3"/>
        <v>16</v>
      </c>
      <c r="D106" t="s">
        <v>190</v>
      </c>
    </row>
    <row r="107" spans="2:4">
      <c r="B107" s="4">
        <f t="shared" si="2"/>
        <v>44628</v>
      </c>
      <c r="C107" s="3">
        <f t="shared" si="3"/>
        <v>16</v>
      </c>
      <c r="D107" t="s">
        <v>191</v>
      </c>
    </row>
    <row r="108" spans="2:4">
      <c r="B108" s="4">
        <f t="shared" si="2"/>
        <v>44629</v>
      </c>
      <c r="C108" s="3">
        <f t="shared" si="3"/>
        <v>16</v>
      </c>
      <c r="D108" t="s">
        <v>192</v>
      </c>
    </row>
    <row r="109" spans="2:4">
      <c r="B109" s="4">
        <f t="shared" si="2"/>
        <v>44630</v>
      </c>
      <c r="C109" s="3">
        <f t="shared" si="3"/>
        <v>16</v>
      </c>
      <c r="D109" t="s">
        <v>193</v>
      </c>
    </row>
    <row r="110" spans="2:4">
      <c r="B110" s="4">
        <f t="shared" si="2"/>
        <v>44631</v>
      </c>
      <c r="C110" s="3">
        <f t="shared" si="3"/>
        <v>16</v>
      </c>
      <c r="D110" t="s">
        <v>194</v>
      </c>
    </row>
    <row r="111" spans="2:4">
      <c r="B111" s="4">
        <f t="shared" si="2"/>
        <v>44632</v>
      </c>
      <c r="C111" s="3">
        <f t="shared" si="3"/>
        <v>16</v>
      </c>
      <c r="D111" t="s">
        <v>195</v>
      </c>
    </row>
    <row r="112" spans="2:4">
      <c r="B112" s="4">
        <f t="shared" si="2"/>
        <v>44633</v>
      </c>
      <c r="C112" s="3">
        <f t="shared" si="3"/>
        <v>16</v>
      </c>
      <c r="D112" t="s">
        <v>196</v>
      </c>
    </row>
    <row r="113" spans="2:4">
      <c r="B113" s="4">
        <f t="shared" si="2"/>
        <v>44634</v>
      </c>
      <c r="C113" s="3">
        <f t="shared" si="3"/>
        <v>17</v>
      </c>
      <c r="D113" t="s">
        <v>190</v>
      </c>
    </row>
    <row r="114" spans="2:4">
      <c r="B114" s="4">
        <f t="shared" si="2"/>
        <v>44635</v>
      </c>
      <c r="C114" s="3">
        <f t="shared" si="3"/>
        <v>17</v>
      </c>
      <c r="D114" t="s">
        <v>191</v>
      </c>
    </row>
    <row r="115" spans="2:4">
      <c r="B115" s="4">
        <f t="shared" si="2"/>
        <v>44636</v>
      </c>
      <c r="C115" s="3">
        <f t="shared" si="3"/>
        <v>17</v>
      </c>
      <c r="D115" t="s">
        <v>192</v>
      </c>
    </row>
    <row r="116" spans="2:4">
      <c r="B116" s="4">
        <f t="shared" si="2"/>
        <v>44637</v>
      </c>
      <c r="C116" s="3">
        <f t="shared" si="3"/>
        <v>17</v>
      </c>
      <c r="D116" t="s">
        <v>193</v>
      </c>
    </row>
    <row r="117" spans="2:4">
      <c r="B117" s="4">
        <f t="shared" si="2"/>
        <v>44638</v>
      </c>
      <c r="C117" s="3">
        <f t="shared" si="3"/>
        <v>17</v>
      </c>
      <c r="D117" t="s">
        <v>194</v>
      </c>
    </row>
    <row r="118" spans="2:4">
      <c r="B118" s="4">
        <f t="shared" si="2"/>
        <v>44639</v>
      </c>
      <c r="C118" s="3">
        <f t="shared" si="3"/>
        <v>17</v>
      </c>
      <c r="D118" t="s">
        <v>195</v>
      </c>
    </row>
    <row r="119" spans="2:4">
      <c r="B119" s="4">
        <f t="shared" si="2"/>
        <v>44640</v>
      </c>
      <c r="C119" s="3">
        <f t="shared" si="3"/>
        <v>17</v>
      </c>
      <c r="D119" t="s">
        <v>196</v>
      </c>
    </row>
    <row r="120" spans="2:4">
      <c r="B120" s="4">
        <f t="shared" si="2"/>
        <v>44641</v>
      </c>
      <c r="C120" s="3">
        <f t="shared" si="3"/>
        <v>18</v>
      </c>
      <c r="D120" t="s">
        <v>190</v>
      </c>
    </row>
    <row r="121" spans="2:4">
      <c r="B121" s="4">
        <f t="shared" si="2"/>
        <v>44642</v>
      </c>
      <c r="C121" s="3">
        <f t="shared" si="3"/>
        <v>18</v>
      </c>
      <c r="D121" t="s">
        <v>191</v>
      </c>
    </row>
    <row r="122" spans="2:4">
      <c r="B122" s="4">
        <f t="shared" si="2"/>
        <v>44643</v>
      </c>
      <c r="C122" s="3">
        <f t="shared" si="3"/>
        <v>18</v>
      </c>
      <c r="D122" t="s">
        <v>192</v>
      </c>
    </row>
    <row r="123" spans="2:4">
      <c r="B123" s="4">
        <f t="shared" si="2"/>
        <v>44644</v>
      </c>
      <c r="C123" s="3">
        <f t="shared" si="3"/>
        <v>18</v>
      </c>
      <c r="D123" t="s">
        <v>193</v>
      </c>
    </row>
    <row r="124" spans="2:4">
      <c r="B124" s="4">
        <f t="shared" si="2"/>
        <v>44645</v>
      </c>
      <c r="C124" s="3">
        <f t="shared" si="3"/>
        <v>18</v>
      </c>
      <c r="D124" t="s">
        <v>194</v>
      </c>
    </row>
    <row r="125" spans="2:4">
      <c r="B125" s="4">
        <f t="shared" si="2"/>
        <v>44646</v>
      </c>
      <c r="C125" s="3">
        <f t="shared" si="3"/>
        <v>18</v>
      </c>
      <c r="D125" t="s">
        <v>195</v>
      </c>
    </row>
    <row r="126" spans="2:4">
      <c r="B126" s="4">
        <f t="shared" si="2"/>
        <v>44647</v>
      </c>
      <c r="C126" s="3">
        <f t="shared" si="3"/>
        <v>18</v>
      </c>
      <c r="D126" t="s">
        <v>196</v>
      </c>
    </row>
    <row r="127" spans="2:4">
      <c r="B127" s="4">
        <f t="shared" si="2"/>
        <v>44648</v>
      </c>
      <c r="C127" s="3">
        <f t="shared" si="3"/>
        <v>19</v>
      </c>
      <c r="D127" t="s">
        <v>190</v>
      </c>
    </row>
    <row r="128" spans="2:4">
      <c r="B128" s="4">
        <f t="shared" si="2"/>
        <v>44649</v>
      </c>
      <c r="C128" s="3">
        <f t="shared" si="3"/>
        <v>19</v>
      </c>
      <c r="D128" t="s">
        <v>191</v>
      </c>
    </row>
    <row r="129" spans="2:4">
      <c r="B129" s="4">
        <f t="shared" si="2"/>
        <v>44650</v>
      </c>
      <c r="C129" s="3">
        <f t="shared" si="3"/>
        <v>19</v>
      </c>
      <c r="D129" t="s">
        <v>192</v>
      </c>
    </row>
    <row r="130" spans="2:4">
      <c r="B130" s="4">
        <f t="shared" si="2"/>
        <v>44651</v>
      </c>
      <c r="C130" s="3">
        <f t="shared" si="3"/>
        <v>19</v>
      </c>
      <c r="D130" t="s">
        <v>193</v>
      </c>
    </row>
    <row r="131" spans="2:4">
      <c r="B131" s="4">
        <f t="shared" ref="B131:B194" si="4">B130+1</f>
        <v>44652</v>
      </c>
      <c r="C131" s="3">
        <f t="shared" si="3"/>
        <v>19</v>
      </c>
      <c r="D131" t="s">
        <v>194</v>
      </c>
    </row>
    <row r="132" spans="2:4">
      <c r="B132" s="4">
        <f t="shared" si="4"/>
        <v>44653</v>
      </c>
      <c r="C132" s="3">
        <f t="shared" si="3"/>
        <v>19</v>
      </c>
      <c r="D132" t="s">
        <v>195</v>
      </c>
    </row>
    <row r="133" spans="2:4">
      <c r="B133" s="4">
        <f t="shared" si="4"/>
        <v>44654</v>
      </c>
      <c r="C133" s="3">
        <f t="shared" si="3"/>
        <v>19</v>
      </c>
      <c r="D133" t="s">
        <v>196</v>
      </c>
    </row>
    <row r="134" spans="2:4">
      <c r="B134" s="4">
        <f t="shared" si="4"/>
        <v>44655</v>
      </c>
      <c r="C134" s="3">
        <f t="shared" si="3"/>
        <v>20</v>
      </c>
      <c r="D134" t="s">
        <v>190</v>
      </c>
    </row>
    <row r="135" spans="2:4">
      <c r="B135" s="4">
        <f t="shared" si="4"/>
        <v>44656</v>
      </c>
      <c r="C135" s="3">
        <f t="shared" si="3"/>
        <v>20</v>
      </c>
      <c r="D135" t="s">
        <v>191</v>
      </c>
    </row>
    <row r="136" spans="2:4">
      <c r="B136" s="4">
        <f t="shared" si="4"/>
        <v>44657</v>
      </c>
      <c r="C136" s="3">
        <f t="shared" si="3"/>
        <v>20</v>
      </c>
      <c r="D136" t="s">
        <v>192</v>
      </c>
    </row>
    <row r="137" spans="2:4">
      <c r="B137" s="4">
        <f t="shared" si="4"/>
        <v>44658</v>
      </c>
      <c r="C137" s="3">
        <f t="shared" ref="C137:C200" si="5">C130+1</f>
        <v>20</v>
      </c>
      <c r="D137" t="s">
        <v>193</v>
      </c>
    </row>
    <row r="138" spans="2:4">
      <c r="B138" s="4">
        <f t="shared" si="4"/>
        <v>44659</v>
      </c>
      <c r="C138" s="3">
        <f t="shared" si="5"/>
        <v>20</v>
      </c>
      <c r="D138" t="s">
        <v>194</v>
      </c>
    </row>
    <row r="139" spans="2:4">
      <c r="B139" s="4">
        <f t="shared" si="4"/>
        <v>44660</v>
      </c>
      <c r="C139" s="3">
        <f t="shared" si="5"/>
        <v>20</v>
      </c>
      <c r="D139" t="s">
        <v>195</v>
      </c>
    </row>
    <row r="140" spans="2:4">
      <c r="B140" s="4">
        <f t="shared" si="4"/>
        <v>44661</v>
      </c>
      <c r="C140" s="3">
        <f t="shared" si="5"/>
        <v>20</v>
      </c>
      <c r="D140" t="s">
        <v>196</v>
      </c>
    </row>
    <row r="141" spans="2:4">
      <c r="B141" s="4">
        <f t="shared" si="4"/>
        <v>44662</v>
      </c>
      <c r="C141" s="3">
        <f t="shared" si="5"/>
        <v>21</v>
      </c>
      <c r="D141" t="s">
        <v>190</v>
      </c>
    </row>
    <row r="142" spans="2:4">
      <c r="B142" s="4">
        <f t="shared" si="4"/>
        <v>44663</v>
      </c>
      <c r="C142" s="3">
        <f t="shared" si="5"/>
        <v>21</v>
      </c>
      <c r="D142" t="s">
        <v>191</v>
      </c>
    </row>
    <row r="143" spans="2:4">
      <c r="B143" s="4">
        <f t="shared" si="4"/>
        <v>44664</v>
      </c>
      <c r="C143" s="3">
        <f t="shared" si="5"/>
        <v>21</v>
      </c>
      <c r="D143" t="s">
        <v>192</v>
      </c>
    </row>
    <row r="144" spans="2:4">
      <c r="B144" s="4">
        <f t="shared" si="4"/>
        <v>44665</v>
      </c>
      <c r="C144" s="3">
        <f t="shared" si="5"/>
        <v>21</v>
      </c>
      <c r="D144" t="s">
        <v>193</v>
      </c>
    </row>
    <row r="145" spans="2:4">
      <c r="B145" s="4">
        <f t="shared" si="4"/>
        <v>44666</v>
      </c>
      <c r="C145" s="3">
        <f t="shared" si="5"/>
        <v>21</v>
      </c>
      <c r="D145" t="s">
        <v>194</v>
      </c>
    </row>
    <row r="146" spans="2:4">
      <c r="B146" s="4">
        <f t="shared" si="4"/>
        <v>44667</v>
      </c>
      <c r="C146" s="3">
        <f t="shared" si="5"/>
        <v>21</v>
      </c>
      <c r="D146" t="s">
        <v>195</v>
      </c>
    </row>
    <row r="147" spans="2:4">
      <c r="B147" s="4">
        <f t="shared" si="4"/>
        <v>44668</v>
      </c>
      <c r="C147" s="3">
        <f t="shared" si="5"/>
        <v>21</v>
      </c>
      <c r="D147" t="s">
        <v>196</v>
      </c>
    </row>
    <row r="148" spans="2:4">
      <c r="B148" s="4">
        <f t="shared" si="4"/>
        <v>44669</v>
      </c>
      <c r="C148" s="3">
        <f t="shared" si="5"/>
        <v>22</v>
      </c>
      <c r="D148" t="s">
        <v>190</v>
      </c>
    </row>
    <row r="149" spans="2:4">
      <c r="B149" s="4">
        <f t="shared" si="4"/>
        <v>44670</v>
      </c>
      <c r="C149" s="3">
        <f t="shared" si="5"/>
        <v>22</v>
      </c>
      <c r="D149" t="s">
        <v>191</v>
      </c>
    </row>
    <row r="150" spans="2:4">
      <c r="B150" s="4">
        <f t="shared" si="4"/>
        <v>44671</v>
      </c>
      <c r="C150" s="3">
        <f t="shared" si="5"/>
        <v>22</v>
      </c>
      <c r="D150" t="s">
        <v>192</v>
      </c>
    </row>
    <row r="151" spans="2:4">
      <c r="B151" s="4">
        <f t="shared" si="4"/>
        <v>44672</v>
      </c>
      <c r="C151" s="3">
        <f t="shared" si="5"/>
        <v>22</v>
      </c>
      <c r="D151" t="s">
        <v>193</v>
      </c>
    </row>
    <row r="152" spans="2:4">
      <c r="B152" s="4">
        <f t="shared" si="4"/>
        <v>44673</v>
      </c>
      <c r="C152" s="3">
        <f t="shared" si="5"/>
        <v>22</v>
      </c>
      <c r="D152" t="s">
        <v>194</v>
      </c>
    </row>
    <row r="153" spans="2:4">
      <c r="B153" s="4">
        <f t="shared" si="4"/>
        <v>44674</v>
      </c>
      <c r="C153" s="3">
        <f t="shared" si="5"/>
        <v>22</v>
      </c>
      <c r="D153" t="s">
        <v>195</v>
      </c>
    </row>
    <row r="154" spans="2:4">
      <c r="B154" s="4">
        <f t="shared" si="4"/>
        <v>44675</v>
      </c>
      <c r="C154" s="3">
        <f t="shared" si="5"/>
        <v>22</v>
      </c>
      <c r="D154" t="s">
        <v>196</v>
      </c>
    </row>
    <row r="155" spans="2:4">
      <c r="B155" s="4">
        <f t="shared" si="4"/>
        <v>44676</v>
      </c>
      <c r="C155" s="3">
        <f t="shared" si="5"/>
        <v>23</v>
      </c>
      <c r="D155" t="s">
        <v>190</v>
      </c>
    </row>
    <row r="156" spans="2:4">
      <c r="B156" s="4">
        <f t="shared" si="4"/>
        <v>44677</v>
      </c>
      <c r="C156" s="3">
        <f t="shared" si="5"/>
        <v>23</v>
      </c>
      <c r="D156" t="s">
        <v>191</v>
      </c>
    </row>
    <row r="157" spans="2:4">
      <c r="B157" s="4">
        <f t="shared" si="4"/>
        <v>44678</v>
      </c>
      <c r="C157" s="3">
        <f t="shared" si="5"/>
        <v>23</v>
      </c>
      <c r="D157" t="s">
        <v>192</v>
      </c>
    </row>
    <row r="158" spans="2:4">
      <c r="B158" s="4">
        <f t="shared" si="4"/>
        <v>44679</v>
      </c>
      <c r="C158" s="3">
        <f t="shared" si="5"/>
        <v>23</v>
      </c>
      <c r="D158" t="s">
        <v>193</v>
      </c>
    </row>
    <row r="159" spans="2:4">
      <c r="B159" s="4">
        <f t="shared" si="4"/>
        <v>44680</v>
      </c>
      <c r="C159" s="3">
        <f t="shared" si="5"/>
        <v>23</v>
      </c>
      <c r="D159" t="s">
        <v>194</v>
      </c>
    </row>
    <row r="160" spans="2:4">
      <c r="B160" s="4">
        <f t="shared" si="4"/>
        <v>44681</v>
      </c>
      <c r="C160" s="3">
        <f t="shared" si="5"/>
        <v>23</v>
      </c>
      <c r="D160" t="s">
        <v>195</v>
      </c>
    </row>
    <row r="161" spans="2:4">
      <c r="B161" s="4">
        <f t="shared" si="4"/>
        <v>44682</v>
      </c>
      <c r="C161" s="3">
        <f t="shared" si="5"/>
        <v>23</v>
      </c>
      <c r="D161" t="s">
        <v>196</v>
      </c>
    </row>
    <row r="162" spans="2:4">
      <c r="B162" s="4">
        <f t="shared" si="4"/>
        <v>44683</v>
      </c>
      <c r="C162" s="3">
        <f t="shared" si="5"/>
        <v>24</v>
      </c>
      <c r="D162" t="s">
        <v>190</v>
      </c>
    </row>
    <row r="163" spans="2:4">
      <c r="B163" s="4">
        <f t="shared" si="4"/>
        <v>44684</v>
      </c>
      <c r="C163" s="3">
        <f t="shared" si="5"/>
        <v>24</v>
      </c>
      <c r="D163" t="s">
        <v>191</v>
      </c>
    </row>
    <row r="164" spans="2:4">
      <c r="B164" s="4">
        <f t="shared" si="4"/>
        <v>44685</v>
      </c>
      <c r="C164" s="3">
        <f t="shared" si="5"/>
        <v>24</v>
      </c>
      <c r="D164" t="s">
        <v>192</v>
      </c>
    </row>
    <row r="165" spans="2:4">
      <c r="B165" s="4">
        <f t="shared" si="4"/>
        <v>44686</v>
      </c>
      <c r="C165" s="3">
        <f t="shared" si="5"/>
        <v>24</v>
      </c>
      <c r="D165" t="s">
        <v>193</v>
      </c>
    </row>
    <row r="166" spans="2:4">
      <c r="B166" s="4">
        <f t="shared" si="4"/>
        <v>44687</v>
      </c>
      <c r="C166" s="3">
        <f t="shared" si="5"/>
        <v>24</v>
      </c>
      <c r="D166" t="s">
        <v>194</v>
      </c>
    </row>
    <row r="167" spans="2:4">
      <c r="B167" s="4">
        <f t="shared" si="4"/>
        <v>44688</v>
      </c>
      <c r="C167" s="3">
        <f t="shared" si="5"/>
        <v>24</v>
      </c>
      <c r="D167" t="s">
        <v>195</v>
      </c>
    </row>
    <row r="168" spans="2:4">
      <c r="B168" s="4">
        <f t="shared" si="4"/>
        <v>44689</v>
      </c>
      <c r="C168" s="3">
        <f t="shared" si="5"/>
        <v>24</v>
      </c>
      <c r="D168" t="s">
        <v>196</v>
      </c>
    </row>
    <row r="169" spans="2:4">
      <c r="B169" s="4">
        <f t="shared" si="4"/>
        <v>44690</v>
      </c>
      <c r="C169" s="3">
        <f t="shared" si="5"/>
        <v>25</v>
      </c>
      <c r="D169" t="s">
        <v>190</v>
      </c>
    </row>
    <row r="170" spans="2:4">
      <c r="B170" s="4">
        <f t="shared" si="4"/>
        <v>44691</v>
      </c>
      <c r="C170" s="3">
        <f t="shared" si="5"/>
        <v>25</v>
      </c>
      <c r="D170" t="s">
        <v>191</v>
      </c>
    </row>
    <row r="171" spans="2:4">
      <c r="B171" s="4">
        <f t="shared" si="4"/>
        <v>44692</v>
      </c>
      <c r="C171" s="3">
        <f t="shared" si="5"/>
        <v>25</v>
      </c>
      <c r="D171" t="s">
        <v>192</v>
      </c>
    </row>
    <row r="172" spans="2:4">
      <c r="B172" s="4">
        <f t="shared" si="4"/>
        <v>44693</v>
      </c>
      <c r="C172" s="3">
        <f t="shared" si="5"/>
        <v>25</v>
      </c>
      <c r="D172" t="s">
        <v>193</v>
      </c>
    </row>
    <row r="173" spans="2:4">
      <c r="B173" s="4">
        <f t="shared" si="4"/>
        <v>44694</v>
      </c>
      <c r="C173" s="3">
        <f t="shared" si="5"/>
        <v>25</v>
      </c>
      <c r="D173" t="s">
        <v>194</v>
      </c>
    </row>
    <row r="174" spans="2:4">
      <c r="B174" s="4">
        <f t="shared" si="4"/>
        <v>44695</v>
      </c>
      <c r="C174" s="3">
        <f t="shared" si="5"/>
        <v>25</v>
      </c>
      <c r="D174" t="s">
        <v>195</v>
      </c>
    </row>
    <row r="175" spans="2:4">
      <c r="B175" s="4">
        <f t="shared" si="4"/>
        <v>44696</v>
      </c>
      <c r="C175" s="3">
        <f t="shared" si="5"/>
        <v>25</v>
      </c>
      <c r="D175" t="s">
        <v>196</v>
      </c>
    </row>
    <row r="176" spans="2:4">
      <c r="B176" s="4">
        <f t="shared" si="4"/>
        <v>44697</v>
      </c>
      <c r="C176" s="3">
        <f t="shared" si="5"/>
        <v>26</v>
      </c>
      <c r="D176" t="s">
        <v>190</v>
      </c>
    </row>
    <row r="177" spans="2:4">
      <c r="B177" s="4">
        <f t="shared" si="4"/>
        <v>44698</v>
      </c>
      <c r="C177" s="3">
        <f t="shared" si="5"/>
        <v>26</v>
      </c>
      <c r="D177" t="s">
        <v>191</v>
      </c>
    </row>
    <row r="178" spans="2:4">
      <c r="B178" s="4">
        <f t="shared" si="4"/>
        <v>44699</v>
      </c>
      <c r="C178" s="3">
        <f t="shared" si="5"/>
        <v>26</v>
      </c>
      <c r="D178" t="s">
        <v>192</v>
      </c>
    </row>
    <row r="179" spans="2:4">
      <c r="B179" s="4">
        <f t="shared" si="4"/>
        <v>44700</v>
      </c>
      <c r="C179" s="3">
        <f t="shared" si="5"/>
        <v>26</v>
      </c>
      <c r="D179" t="s">
        <v>193</v>
      </c>
    </row>
    <row r="180" spans="2:4">
      <c r="B180" s="4">
        <f t="shared" si="4"/>
        <v>44701</v>
      </c>
      <c r="C180" s="3">
        <f t="shared" si="5"/>
        <v>26</v>
      </c>
      <c r="D180" t="s">
        <v>194</v>
      </c>
    </row>
    <row r="181" spans="2:4">
      <c r="B181" s="4">
        <f t="shared" si="4"/>
        <v>44702</v>
      </c>
      <c r="C181" s="3">
        <f t="shared" si="5"/>
        <v>26</v>
      </c>
      <c r="D181" t="s">
        <v>195</v>
      </c>
    </row>
    <row r="182" spans="2:4">
      <c r="B182" s="4">
        <f t="shared" si="4"/>
        <v>44703</v>
      </c>
      <c r="C182" s="3">
        <f t="shared" si="5"/>
        <v>26</v>
      </c>
      <c r="D182" t="s">
        <v>196</v>
      </c>
    </row>
    <row r="183" spans="2:4">
      <c r="B183" s="4">
        <f t="shared" si="4"/>
        <v>44704</v>
      </c>
      <c r="C183" s="3">
        <f t="shared" si="5"/>
        <v>27</v>
      </c>
      <c r="D183" t="s">
        <v>190</v>
      </c>
    </row>
    <row r="184" spans="2:4">
      <c r="B184" s="4">
        <f t="shared" si="4"/>
        <v>44705</v>
      </c>
      <c r="C184" s="3">
        <f t="shared" si="5"/>
        <v>27</v>
      </c>
      <c r="D184" t="s">
        <v>191</v>
      </c>
    </row>
    <row r="185" spans="2:4">
      <c r="B185" s="4">
        <f t="shared" si="4"/>
        <v>44706</v>
      </c>
      <c r="C185" s="3">
        <f t="shared" si="5"/>
        <v>27</v>
      </c>
      <c r="D185" t="s">
        <v>192</v>
      </c>
    </row>
    <row r="186" spans="2:4">
      <c r="B186" s="4">
        <f t="shared" si="4"/>
        <v>44707</v>
      </c>
      <c r="C186" s="3">
        <f t="shared" si="5"/>
        <v>27</v>
      </c>
      <c r="D186" t="s">
        <v>193</v>
      </c>
    </row>
    <row r="187" spans="2:4">
      <c r="B187" s="4">
        <f t="shared" si="4"/>
        <v>44708</v>
      </c>
      <c r="C187" s="3">
        <f t="shared" si="5"/>
        <v>27</v>
      </c>
      <c r="D187" t="s">
        <v>194</v>
      </c>
    </row>
    <row r="188" spans="2:4">
      <c r="B188" s="4">
        <f t="shared" si="4"/>
        <v>44709</v>
      </c>
      <c r="C188" s="3">
        <f t="shared" si="5"/>
        <v>27</v>
      </c>
      <c r="D188" t="s">
        <v>195</v>
      </c>
    </row>
    <row r="189" spans="2:4">
      <c r="B189" s="4">
        <f t="shared" si="4"/>
        <v>44710</v>
      </c>
      <c r="C189" s="3">
        <f t="shared" si="5"/>
        <v>27</v>
      </c>
      <c r="D189" t="s">
        <v>196</v>
      </c>
    </row>
    <row r="190" spans="2:4">
      <c r="B190" s="4">
        <f t="shared" si="4"/>
        <v>44711</v>
      </c>
      <c r="C190" s="3">
        <f t="shared" si="5"/>
        <v>28</v>
      </c>
      <c r="D190" t="s">
        <v>190</v>
      </c>
    </row>
    <row r="191" spans="2:4">
      <c r="B191" s="4">
        <f t="shared" si="4"/>
        <v>44712</v>
      </c>
      <c r="C191" s="3">
        <f t="shared" si="5"/>
        <v>28</v>
      </c>
      <c r="D191" t="s">
        <v>191</v>
      </c>
    </row>
    <row r="192" spans="2:4">
      <c r="B192" s="4">
        <f t="shared" si="4"/>
        <v>44713</v>
      </c>
      <c r="C192" s="3">
        <f t="shared" si="5"/>
        <v>28</v>
      </c>
      <c r="D192" t="s">
        <v>192</v>
      </c>
    </row>
    <row r="193" spans="2:4">
      <c r="B193" s="4">
        <f t="shared" si="4"/>
        <v>44714</v>
      </c>
      <c r="C193" s="3">
        <f t="shared" si="5"/>
        <v>28</v>
      </c>
      <c r="D193" t="s">
        <v>193</v>
      </c>
    </row>
    <row r="194" spans="2:4">
      <c r="B194" s="4">
        <f t="shared" si="4"/>
        <v>44715</v>
      </c>
      <c r="C194" s="3">
        <f t="shared" si="5"/>
        <v>28</v>
      </c>
      <c r="D194" t="s">
        <v>194</v>
      </c>
    </row>
    <row r="195" spans="2:4">
      <c r="B195" s="4">
        <f t="shared" ref="B195:B258" si="6">B194+1</f>
        <v>44716</v>
      </c>
      <c r="C195" s="3">
        <f t="shared" si="5"/>
        <v>28</v>
      </c>
      <c r="D195" t="s">
        <v>195</v>
      </c>
    </row>
    <row r="196" spans="2:4">
      <c r="B196" s="4">
        <f t="shared" si="6"/>
        <v>44717</v>
      </c>
      <c r="C196" s="3">
        <f t="shared" si="5"/>
        <v>28</v>
      </c>
      <c r="D196" t="s">
        <v>196</v>
      </c>
    </row>
    <row r="197" spans="2:4">
      <c r="B197" s="4">
        <f t="shared" si="6"/>
        <v>44718</v>
      </c>
      <c r="C197" s="3">
        <f t="shared" si="5"/>
        <v>29</v>
      </c>
      <c r="D197" t="s">
        <v>190</v>
      </c>
    </row>
    <row r="198" spans="2:4">
      <c r="B198" s="4">
        <f t="shared" si="6"/>
        <v>44719</v>
      </c>
      <c r="C198" s="3">
        <f t="shared" si="5"/>
        <v>29</v>
      </c>
      <c r="D198" t="s">
        <v>191</v>
      </c>
    </row>
    <row r="199" spans="2:4">
      <c r="B199" s="4">
        <f t="shared" si="6"/>
        <v>44720</v>
      </c>
      <c r="C199" s="3">
        <f t="shared" si="5"/>
        <v>29</v>
      </c>
      <c r="D199" t="s">
        <v>192</v>
      </c>
    </row>
    <row r="200" spans="2:4">
      <c r="B200" s="4">
        <f t="shared" si="6"/>
        <v>44721</v>
      </c>
      <c r="C200" s="3">
        <f t="shared" si="5"/>
        <v>29</v>
      </c>
      <c r="D200" t="s">
        <v>193</v>
      </c>
    </row>
    <row r="201" spans="2:4">
      <c r="B201" s="4">
        <f t="shared" si="6"/>
        <v>44722</v>
      </c>
      <c r="C201" s="3">
        <f t="shared" ref="C201:C264" si="7">C194+1</f>
        <v>29</v>
      </c>
      <c r="D201" t="s">
        <v>194</v>
      </c>
    </row>
    <row r="202" spans="2:4">
      <c r="B202" s="4">
        <f t="shared" si="6"/>
        <v>44723</v>
      </c>
      <c r="C202" s="3">
        <f t="shared" si="7"/>
        <v>29</v>
      </c>
      <c r="D202" t="s">
        <v>195</v>
      </c>
    </row>
    <row r="203" spans="2:4">
      <c r="B203" s="4">
        <f t="shared" si="6"/>
        <v>44724</v>
      </c>
      <c r="C203" s="3">
        <f t="shared" si="7"/>
        <v>29</v>
      </c>
      <c r="D203" t="s">
        <v>196</v>
      </c>
    </row>
    <row r="204" spans="2:4">
      <c r="B204" s="4">
        <f t="shared" si="6"/>
        <v>44725</v>
      </c>
      <c r="C204" s="3">
        <f t="shared" si="7"/>
        <v>30</v>
      </c>
      <c r="D204" t="s">
        <v>190</v>
      </c>
    </row>
    <row r="205" spans="2:4">
      <c r="B205" s="4">
        <f t="shared" si="6"/>
        <v>44726</v>
      </c>
      <c r="C205" s="3">
        <f t="shared" si="7"/>
        <v>30</v>
      </c>
      <c r="D205" t="s">
        <v>191</v>
      </c>
    </row>
    <row r="206" spans="2:4">
      <c r="B206" s="4">
        <f t="shared" si="6"/>
        <v>44727</v>
      </c>
      <c r="C206" s="3">
        <f t="shared" si="7"/>
        <v>30</v>
      </c>
      <c r="D206" t="s">
        <v>192</v>
      </c>
    </row>
    <row r="207" spans="2:4">
      <c r="B207" s="4">
        <f t="shared" si="6"/>
        <v>44728</v>
      </c>
      <c r="C207" s="3">
        <f t="shared" si="7"/>
        <v>30</v>
      </c>
      <c r="D207" t="s">
        <v>193</v>
      </c>
    </row>
    <row r="208" spans="2:4">
      <c r="B208" s="4">
        <f t="shared" si="6"/>
        <v>44729</v>
      </c>
      <c r="C208" s="3">
        <f t="shared" si="7"/>
        <v>30</v>
      </c>
      <c r="D208" t="s">
        <v>194</v>
      </c>
    </row>
    <row r="209" spans="2:4">
      <c r="B209" s="4">
        <f t="shared" si="6"/>
        <v>44730</v>
      </c>
      <c r="C209" s="3">
        <f t="shared" si="7"/>
        <v>30</v>
      </c>
      <c r="D209" t="s">
        <v>195</v>
      </c>
    </row>
    <row r="210" spans="2:4">
      <c r="B210" s="4">
        <f t="shared" si="6"/>
        <v>44731</v>
      </c>
      <c r="C210" s="3">
        <f t="shared" si="7"/>
        <v>30</v>
      </c>
      <c r="D210" t="s">
        <v>196</v>
      </c>
    </row>
    <row r="211" spans="2:4">
      <c r="B211" s="4">
        <f t="shared" si="6"/>
        <v>44732</v>
      </c>
      <c r="C211" s="3">
        <f t="shared" si="7"/>
        <v>31</v>
      </c>
      <c r="D211" t="s">
        <v>190</v>
      </c>
    </row>
    <row r="212" spans="2:4">
      <c r="B212" s="4">
        <f t="shared" si="6"/>
        <v>44733</v>
      </c>
      <c r="C212" s="3">
        <f t="shared" si="7"/>
        <v>31</v>
      </c>
      <c r="D212" t="s">
        <v>191</v>
      </c>
    </row>
    <row r="213" spans="2:4">
      <c r="B213" s="4">
        <f t="shared" si="6"/>
        <v>44734</v>
      </c>
      <c r="C213" s="3">
        <f t="shared" si="7"/>
        <v>31</v>
      </c>
      <c r="D213" t="s">
        <v>192</v>
      </c>
    </row>
    <row r="214" spans="2:4">
      <c r="B214" s="4">
        <f t="shared" si="6"/>
        <v>44735</v>
      </c>
      <c r="C214" s="3">
        <f t="shared" si="7"/>
        <v>31</v>
      </c>
      <c r="D214" t="s">
        <v>193</v>
      </c>
    </row>
    <row r="215" spans="2:4">
      <c r="B215" s="4">
        <f t="shared" si="6"/>
        <v>44736</v>
      </c>
      <c r="C215" s="3">
        <f t="shared" si="7"/>
        <v>31</v>
      </c>
      <c r="D215" t="s">
        <v>194</v>
      </c>
    </row>
    <row r="216" spans="2:4">
      <c r="B216" s="4">
        <f t="shared" si="6"/>
        <v>44737</v>
      </c>
      <c r="C216" s="3">
        <f t="shared" si="7"/>
        <v>31</v>
      </c>
      <c r="D216" t="s">
        <v>195</v>
      </c>
    </row>
    <row r="217" spans="2:4">
      <c r="B217" s="4">
        <f t="shared" si="6"/>
        <v>44738</v>
      </c>
      <c r="C217" s="3">
        <f t="shared" si="7"/>
        <v>31</v>
      </c>
      <c r="D217" t="s">
        <v>196</v>
      </c>
    </row>
    <row r="218" spans="2:4">
      <c r="B218" s="4">
        <f t="shared" si="6"/>
        <v>44739</v>
      </c>
      <c r="C218" s="3">
        <f t="shared" si="7"/>
        <v>32</v>
      </c>
      <c r="D218" t="s">
        <v>190</v>
      </c>
    </row>
    <row r="219" spans="2:4">
      <c r="B219" s="4">
        <f t="shared" si="6"/>
        <v>44740</v>
      </c>
      <c r="C219" s="3">
        <f t="shared" si="7"/>
        <v>32</v>
      </c>
      <c r="D219" t="s">
        <v>191</v>
      </c>
    </row>
    <row r="220" spans="2:4">
      <c r="B220" s="4">
        <f t="shared" si="6"/>
        <v>44741</v>
      </c>
      <c r="C220" s="3">
        <f t="shared" si="7"/>
        <v>32</v>
      </c>
      <c r="D220" t="s">
        <v>192</v>
      </c>
    </row>
    <row r="221" spans="2:4">
      <c r="B221" s="4">
        <f t="shared" si="6"/>
        <v>44742</v>
      </c>
      <c r="C221" s="3">
        <f t="shared" si="7"/>
        <v>32</v>
      </c>
      <c r="D221" t="s">
        <v>193</v>
      </c>
    </row>
    <row r="222" spans="2:4">
      <c r="B222" s="4">
        <f t="shared" si="6"/>
        <v>44743</v>
      </c>
      <c r="C222" s="3">
        <f t="shared" si="7"/>
        <v>32</v>
      </c>
      <c r="D222" t="s">
        <v>194</v>
      </c>
    </row>
    <row r="223" spans="2:4">
      <c r="B223" s="4">
        <f t="shared" si="6"/>
        <v>44744</v>
      </c>
      <c r="C223" s="3">
        <f t="shared" si="7"/>
        <v>32</v>
      </c>
      <c r="D223" t="s">
        <v>195</v>
      </c>
    </row>
    <row r="224" spans="2:4">
      <c r="B224" s="4">
        <f t="shared" si="6"/>
        <v>44745</v>
      </c>
      <c r="C224" s="3">
        <f t="shared" si="7"/>
        <v>32</v>
      </c>
      <c r="D224" t="s">
        <v>196</v>
      </c>
    </row>
    <row r="225" spans="2:4">
      <c r="B225" s="4">
        <f t="shared" si="6"/>
        <v>44746</v>
      </c>
      <c r="C225" s="3">
        <f t="shared" si="7"/>
        <v>33</v>
      </c>
      <c r="D225" t="s">
        <v>190</v>
      </c>
    </row>
    <row r="226" spans="2:4">
      <c r="B226" s="4">
        <f t="shared" si="6"/>
        <v>44747</v>
      </c>
      <c r="C226" s="3">
        <f t="shared" si="7"/>
        <v>33</v>
      </c>
      <c r="D226" t="s">
        <v>191</v>
      </c>
    </row>
    <row r="227" spans="2:4">
      <c r="B227" s="4">
        <f t="shared" si="6"/>
        <v>44748</v>
      </c>
      <c r="C227" s="3">
        <f t="shared" si="7"/>
        <v>33</v>
      </c>
      <c r="D227" t="s">
        <v>192</v>
      </c>
    </row>
    <row r="228" spans="2:4">
      <c r="B228" s="4">
        <f t="shared" si="6"/>
        <v>44749</v>
      </c>
      <c r="C228" s="3">
        <f t="shared" si="7"/>
        <v>33</v>
      </c>
      <c r="D228" t="s">
        <v>193</v>
      </c>
    </row>
    <row r="229" spans="2:4">
      <c r="B229" s="4">
        <f t="shared" si="6"/>
        <v>44750</v>
      </c>
      <c r="C229" s="3">
        <f t="shared" si="7"/>
        <v>33</v>
      </c>
      <c r="D229" t="s">
        <v>194</v>
      </c>
    </row>
    <row r="230" spans="2:4">
      <c r="B230" s="4">
        <f t="shared" si="6"/>
        <v>44751</v>
      </c>
      <c r="C230" s="3">
        <f t="shared" si="7"/>
        <v>33</v>
      </c>
      <c r="D230" t="s">
        <v>195</v>
      </c>
    </row>
    <row r="231" spans="2:4">
      <c r="B231" s="4">
        <f t="shared" si="6"/>
        <v>44752</v>
      </c>
      <c r="C231" s="3">
        <f t="shared" si="7"/>
        <v>33</v>
      </c>
      <c r="D231" t="s">
        <v>196</v>
      </c>
    </row>
    <row r="232" spans="2:4">
      <c r="B232" s="4">
        <f t="shared" si="6"/>
        <v>44753</v>
      </c>
      <c r="C232" s="3">
        <f t="shared" si="7"/>
        <v>34</v>
      </c>
      <c r="D232" t="s">
        <v>190</v>
      </c>
    </row>
    <row r="233" spans="2:4">
      <c r="B233" s="4">
        <f t="shared" si="6"/>
        <v>44754</v>
      </c>
      <c r="C233" s="3">
        <f t="shared" si="7"/>
        <v>34</v>
      </c>
      <c r="D233" t="s">
        <v>191</v>
      </c>
    </row>
    <row r="234" spans="2:4">
      <c r="B234" s="4">
        <f t="shared" si="6"/>
        <v>44755</v>
      </c>
      <c r="C234" s="3">
        <f t="shared" si="7"/>
        <v>34</v>
      </c>
      <c r="D234" t="s">
        <v>192</v>
      </c>
    </row>
    <row r="235" spans="2:4">
      <c r="B235" s="4">
        <f t="shared" si="6"/>
        <v>44756</v>
      </c>
      <c r="C235" s="3">
        <f t="shared" si="7"/>
        <v>34</v>
      </c>
      <c r="D235" t="s">
        <v>193</v>
      </c>
    </row>
    <row r="236" spans="2:4">
      <c r="B236" s="4">
        <f t="shared" si="6"/>
        <v>44757</v>
      </c>
      <c r="C236" s="3">
        <f t="shared" si="7"/>
        <v>34</v>
      </c>
      <c r="D236" t="s">
        <v>194</v>
      </c>
    </row>
    <row r="237" spans="2:4">
      <c r="B237" s="4">
        <f t="shared" si="6"/>
        <v>44758</v>
      </c>
      <c r="C237" s="3">
        <f t="shared" si="7"/>
        <v>34</v>
      </c>
      <c r="D237" t="s">
        <v>195</v>
      </c>
    </row>
    <row r="238" spans="2:4">
      <c r="B238" s="4">
        <f t="shared" si="6"/>
        <v>44759</v>
      </c>
      <c r="C238" s="3">
        <f t="shared" si="7"/>
        <v>34</v>
      </c>
      <c r="D238" t="s">
        <v>196</v>
      </c>
    </row>
    <row r="239" spans="2:4">
      <c r="B239" s="4">
        <f t="shared" si="6"/>
        <v>44760</v>
      </c>
      <c r="C239" s="3">
        <f t="shared" si="7"/>
        <v>35</v>
      </c>
      <c r="D239" t="s">
        <v>190</v>
      </c>
    </row>
    <row r="240" spans="2:4">
      <c r="B240" s="4">
        <f t="shared" si="6"/>
        <v>44761</v>
      </c>
      <c r="C240" s="3">
        <f t="shared" si="7"/>
        <v>35</v>
      </c>
      <c r="D240" t="s">
        <v>191</v>
      </c>
    </row>
    <row r="241" spans="2:4">
      <c r="B241" s="4">
        <f t="shared" si="6"/>
        <v>44762</v>
      </c>
      <c r="C241" s="3">
        <f t="shared" si="7"/>
        <v>35</v>
      </c>
      <c r="D241" t="s">
        <v>192</v>
      </c>
    </row>
    <row r="242" spans="2:4">
      <c r="B242" s="4">
        <f t="shared" si="6"/>
        <v>44763</v>
      </c>
      <c r="C242" s="3">
        <f t="shared" si="7"/>
        <v>35</v>
      </c>
      <c r="D242" t="s">
        <v>193</v>
      </c>
    </row>
    <row r="243" spans="2:4">
      <c r="B243" s="4">
        <f t="shared" si="6"/>
        <v>44764</v>
      </c>
      <c r="C243" s="3">
        <f t="shared" si="7"/>
        <v>35</v>
      </c>
      <c r="D243" t="s">
        <v>194</v>
      </c>
    </row>
    <row r="244" spans="2:4">
      <c r="B244" s="4">
        <f t="shared" si="6"/>
        <v>44765</v>
      </c>
      <c r="C244" s="3">
        <f t="shared" si="7"/>
        <v>35</v>
      </c>
      <c r="D244" t="s">
        <v>195</v>
      </c>
    </row>
    <row r="245" spans="2:4">
      <c r="B245" s="4">
        <f t="shared" si="6"/>
        <v>44766</v>
      </c>
      <c r="C245" s="3">
        <f t="shared" si="7"/>
        <v>35</v>
      </c>
      <c r="D245" t="s">
        <v>196</v>
      </c>
    </row>
    <row r="246" spans="2:4">
      <c r="B246" s="4">
        <f t="shared" si="6"/>
        <v>44767</v>
      </c>
      <c r="C246" s="3">
        <f t="shared" si="7"/>
        <v>36</v>
      </c>
      <c r="D246" t="s">
        <v>190</v>
      </c>
    </row>
    <row r="247" spans="2:4">
      <c r="B247" s="4">
        <f t="shared" si="6"/>
        <v>44768</v>
      </c>
      <c r="C247" s="3">
        <f t="shared" si="7"/>
        <v>36</v>
      </c>
      <c r="D247" t="s">
        <v>191</v>
      </c>
    </row>
    <row r="248" spans="2:4">
      <c r="B248" s="4">
        <f t="shared" si="6"/>
        <v>44769</v>
      </c>
      <c r="C248" s="3">
        <f t="shared" si="7"/>
        <v>36</v>
      </c>
      <c r="D248" t="s">
        <v>192</v>
      </c>
    </row>
    <row r="249" spans="2:4">
      <c r="B249" s="4">
        <f t="shared" si="6"/>
        <v>44770</v>
      </c>
      <c r="C249" s="3">
        <f t="shared" si="7"/>
        <v>36</v>
      </c>
      <c r="D249" t="s">
        <v>193</v>
      </c>
    </row>
    <row r="250" spans="2:4">
      <c r="B250" s="4">
        <f t="shared" si="6"/>
        <v>44771</v>
      </c>
      <c r="C250" s="3">
        <f t="shared" si="7"/>
        <v>36</v>
      </c>
      <c r="D250" t="s">
        <v>194</v>
      </c>
    </row>
    <row r="251" spans="2:4">
      <c r="B251" s="4">
        <f t="shared" si="6"/>
        <v>44772</v>
      </c>
      <c r="C251" s="3">
        <f t="shared" si="7"/>
        <v>36</v>
      </c>
      <c r="D251" t="s">
        <v>195</v>
      </c>
    </row>
    <row r="252" spans="2:4">
      <c r="B252" s="4">
        <f t="shared" si="6"/>
        <v>44773</v>
      </c>
      <c r="C252" s="3">
        <f t="shared" si="7"/>
        <v>36</v>
      </c>
      <c r="D252" t="s">
        <v>196</v>
      </c>
    </row>
    <row r="253" spans="2:4">
      <c r="B253" s="4">
        <f t="shared" si="6"/>
        <v>44774</v>
      </c>
      <c r="C253" s="3">
        <f t="shared" si="7"/>
        <v>37</v>
      </c>
      <c r="D253" t="s">
        <v>190</v>
      </c>
    </row>
    <row r="254" spans="2:4">
      <c r="B254" s="4">
        <f t="shared" si="6"/>
        <v>44775</v>
      </c>
      <c r="C254" s="3">
        <f t="shared" si="7"/>
        <v>37</v>
      </c>
      <c r="D254" t="s">
        <v>191</v>
      </c>
    </row>
    <row r="255" spans="2:4">
      <c r="B255" s="4">
        <f t="shared" si="6"/>
        <v>44776</v>
      </c>
      <c r="C255" s="3">
        <f t="shared" si="7"/>
        <v>37</v>
      </c>
      <c r="D255" t="s">
        <v>192</v>
      </c>
    </row>
    <row r="256" spans="2:4">
      <c r="B256" s="4">
        <f t="shared" si="6"/>
        <v>44777</v>
      </c>
      <c r="C256" s="3">
        <f t="shared" si="7"/>
        <v>37</v>
      </c>
      <c r="D256" t="s">
        <v>193</v>
      </c>
    </row>
    <row r="257" spans="2:4">
      <c r="B257" s="4">
        <f t="shared" si="6"/>
        <v>44778</v>
      </c>
      <c r="C257" s="3">
        <f t="shared" si="7"/>
        <v>37</v>
      </c>
      <c r="D257" t="s">
        <v>194</v>
      </c>
    </row>
    <row r="258" spans="2:4">
      <c r="B258" s="4">
        <f t="shared" si="6"/>
        <v>44779</v>
      </c>
      <c r="C258" s="3">
        <f t="shared" si="7"/>
        <v>37</v>
      </c>
      <c r="D258" t="s">
        <v>195</v>
      </c>
    </row>
    <row r="259" spans="2:4">
      <c r="B259" s="4">
        <f t="shared" ref="B259:B301" si="8">B258+1</f>
        <v>44780</v>
      </c>
      <c r="C259" s="3">
        <f t="shared" si="7"/>
        <v>37</v>
      </c>
      <c r="D259" t="s">
        <v>196</v>
      </c>
    </row>
    <row r="260" spans="2:4">
      <c r="B260" s="4">
        <f t="shared" si="8"/>
        <v>44781</v>
      </c>
      <c r="C260" s="3">
        <f t="shared" si="7"/>
        <v>38</v>
      </c>
      <c r="D260" t="s">
        <v>190</v>
      </c>
    </row>
    <row r="261" spans="2:4">
      <c r="B261" s="4">
        <f t="shared" si="8"/>
        <v>44782</v>
      </c>
      <c r="C261" s="3">
        <f t="shared" si="7"/>
        <v>38</v>
      </c>
      <c r="D261" t="s">
        <v>191</v>
      </c>
    </row>
    <row r="262" spans="2:4">
      <c r="B262" s="4">
        <f t="shared" si="8"/>
        <v>44783</v>
      </c>
      <c r="C262" s="3">
        <f t="shared" si="7"/>
        <v>38</v>
      </c>
      <c r="D262" t="s">
        <v>192</v>
      </c>
    </row>
    <row r="263" spans="2:4">
      <c r="B263" s="4">
        <f t="shared" si="8"/>
        <v>44784</v>
      </c>
      <c r="C263" s="3">
        <f t="shared" si="7"/>
        <v>38</v>
      </c>
      <c r="D263" t="s">
        <v>193</v>
      </c>
    </row>
    <row r="264" spans="2:4">
      <c r="B264" s="4">
        <f t="shared" si="8"/>
        <v>44785</v>
      </c>
      <c r="C264" s="3">
        <f t="shared" si="7"/>
        <v>38</v>
      </c>
      <c r="D264" t="s">
        <v>194</v>
      </c>
    </row>
    <row r="265" spans="2:4">
      <c r="B265" s="4">
        <f t="shared" si="8"/>
        <v>44786</v>
      </c>
      <c r="C265" s="3">
        <f t="shared" ref="C265:C301" si="9">C258+1</f>
        <v>38</v>
      </c>
      <c r="D265" t="s">
        <v>195</v>
      </c>
    </row>
    <row r="266" spans="2:4">
      <c r="B266" s="4">
        <f t="shared" si="8"/>
        <v>44787</v>
      </c>
      <c r="C266" s="3">
        <f t="shared" si="9"/>
        <v>38</v>
      </c>
      <c r="D266" t="s">
        <v>196</v>
      </c>
    </row>
    <row r="267" spans="2:4">
      <c r="B267" s="4">
        <f t="shared" si="8"/>
        <v>44788</v>
      </c>
      <c r="C267" s="3">
        <f t="shared" si="9"/>
        <v>39</v>
      </c>
      <c r="D267" t="s">
        <v>190</v>
      </c>
    </row>
    <row r="268" spans="2:4">
      <c r="B268" s="4">
        <f t="shared" si="8"/>
        <v>44789</v>
      </c>
      <c r="C268" s="3">
        <f t="shared" si="9"/>
        <v>39</v>
      </c>
      <c r="D268" t="s">
        <v>191</v>
      </c>
    </row>
    <row r="269" spans="2:4">
      <c r="B269" s="4">
        <f t="shared" si="8"/>
        <v>44790</v>
      </c>
      <c r="C269" s="3">
        <f t="shared" si="9"/>
        <v>39</v>
      </c>
      <c r="D269" t="s">
        <v>192</v>
      </c>
    </row>
    <row r="270" spans="2:4">
      <c r="B270" s="4">
        <f t="shared" si="8"/>
        <v>44791</v>
      </c>
      <c r="C270" s="3">
        <f t="shared" si="9"/>
        <v>39</v>
      </c>
      <c r="D270" t="s">
        <v>193</v>
      </c>
    </row>
    <row r="271" spans="2:4">
      <c r="B271" s="4">
        <f t="shared" si="8"/>
        <v>44792</v>
      </c>
      <c r="C271" s="3">
        <f t="shared" si="9"/>
        <v>39</v>
      </c>
      <c r="D271" t="s">
        <v>194</v>
      </c>
    </row>
    <row r="272" spans="2:4">
      <c r="B272" s="4">
        <f t="shared" si="8"/>
        <v>44793</v>
      </c>
      <c r="C272" s="3">
        <f t="shared" si="9"/>
        <v>39</v>
      </c>
      <c r="D272" t="s">
        <v>195</v>
      </c>
    </row>
    <row r="273" spans="2:4">
      <c r="B273" s="4">
        <f t="shared" si="8"/>
        <v>44794</v>
      </c>
      <c r="C273" s="3">
        <f t="shared" si="9"/>
        <v>39</v>
      </c>
      <c r="D273" t="s">
        <v>196</v>
      </c>
    </row>
    <row r="274" spans="2:4">
      <c r="B274" s="4">
        <f t="shared" si="8"/>
        <v>44795</v>
      </c>
      <c r="C274" s="3">
        <f t="shared" si="9"/>
        <v>40</v>
      </c>
      <c r="D274" t="s">
        <v>190</v>
      </c>
    </row>
    <row r="275" spans="2:4">
      <c r="B275" s="4">
        <f t="shared" si="8"/>
        <v>44796</v>
      </c>
      <c r="C275" s="3">
        <f t="shared" si="9"/>
        <v>40</v>
      </c>
      <c r="D275" t="s">
        <v>191</v>
      </c>
    </row>
    <row r="276" spans="2:4">
      <c r="B276" s="4">
        <f t="shared" si="8"/>
        <v>44797</v>
      </c>
      <c r="C276" s="3">
        <f t="shared" si="9"/>
        <v>40</v>
      </c>
      <c r="D276" t="s">
        <v>192</v>
      </c>
    </row>
    <row r="277" spans="2:4">
      <c r="B277" s="4">
        <f t="shared" si="8"/>
        <v>44798</v>
      </c>
      <c r="C277" s="3">
        <f t="shared" si="9"/>
        <v>40</v>
      </c>
      <c r="D277" t="s">
        <v>193</v>
      </c>
    </row>
    <row r="278" spans="2:4">
      <c r="B278" s="4">
        <f t="shared" si="8"/>
        <v>44799</v>
      </c>
      <c r="C278" s="3">
        <f t="shared" si="9"/>
        <v>40</v>
      </c>
      <c r="D278" t="s">
        <v>194</v>
      </c>
    </row>
    <row r="279" spans="2:4">
      <c r="B279" s="4">
        <f t="shared" si="8"/>
        <v>44800</v>
      </c>
      <c r="C279" s="3">
        <f t="shared" si="9"/>
        <v>40</v>
      </c>
      <c r="D279" t="s">
        <v>195</v>
      </c>
    </row>
    <row r="280" spans="2:4">
      <c r="B280" s="4">
        <f t="shared" si="8"/>
        <v>44801</v>
      </c>
      <c r="C280" s="3">
        <f t="shared" si="9"/>
        <v>40</v>
      </c>
      <c r="D280" t="s">
        <v>196</v>
      </c>
    </row>
    <row r="281" spans="2:4">
      <c r="B281" s="4">
        <f t="shared" si="8"/>
        <v>44802</v>
      </c>
      <c r="C281" s="3">
        <f t="shared" si="9"/>
        <v>41</v>
      </c>
      <c r="D281" t="s">
        <v>190</v>
      </c>
    </row>
    <row r="282" spans="2:4">
      <c r="B282" s="4">
        <f t="shared" si="8"/>
        <v>44803</v>
      </c>
      <c r="C282" s="3">
        <f t="shared" si="9"/>
        <v>41</v>
      </c>
      <c r="D282" t="s">
        <v>191</v>
      </c>
    </row>
    <row r="283" spans="2:4">
      <c r="B283" s="4">
        <f t="shared" si="8"/>
        <v>44804</v>
      </c>
      <c r="C283" s="3">
        <f t="shared" si="9"/>
        <v>41</v>
      </c>
      <c r="D283" t="s">
        <v>192</v>
      </c>
    </row>
    <row r="284" spans="2:4">
      <c r="B284" s="4">
        <f t="shared" si="8"/>
        <v>44805</v>
      </c>
      <c r="C284" s="3">
        <f t="shared" si="9"/>
        <v>41</v>
      </c>
      <c r="D284" t="s">
        <v>193</v>
      </c>
    </row>
    <row r="285" spans="2:4">
      <c r="B285" s="4">
        <f t="shared" si="8"/>
        <v>44806</v>
      </c>
      <c r="C285" s="3">
        <f t="shared" si="9"/>
        <v>41</v>
      </c>
      <c r="D285" t="s">
        <v>194</v>
      </c>
    </row>
    <row r="286" spans="2:4">
      <c r="B286" s="4">
        <f t="shared" si="8"/>
        <v>44807</v>
      </c>
      <c r="C286" s="3">
        <f t="shared" si="9"/>
        <v>41</v>
      </c>
      <c r="D286" t="s">
        <v>195</v>
      </c>
    </row>
    <row r="287" spans="2:4">
      <c r="B287" s="4">
        <f t="shared" si="8"/>
        <v>44808</v>
      </c>
      <c r="C287" s="3">
        <f t="shared" si="9"/>
        <v>41</v>
      </c>
      <c r="D287" t="s">
        <v>196</v>
      </c>
    </row>
    <row r="288" spans="2:4">
      <c r="B288" s="4">
        <f t="shared" si="8"/>
        <v>44809</v>
      </c>
      <c r="C288" s="3">
        <f t="shared" si="9"/>
        <v>42</v>
      </c>
      <c r="D288" t="s">
        <v>190</v>
      </c>
    </row>
    <row r="289" spans="2:4">
      <c r="B289" s="4">
        <f t="shared" si="8"/>
        <v>44810</v>
      </c>
      <c r="C289" s="3">
        <f t="shared" si="9"/>
        <v>42</v>
      </c>
      <c r="D289" t="s">
        <v>191</v>
      </c>
    </row>
    <row r="290" spans="2:4">
      <c r="B290" s="4">
        <f t="shared" si="8"/>
        <v>44811</v>
      </c>
      <c r="C290" s="3">
        <f t="shared" si="9"/>
        <v>42</v>
      </c>
      <c r="D290" t="s">
        <v>192</v>
      </c>
    </row>
    <row r="291" spans="2:4">
      <c r="B291" s="4">
        <f t="shared" si="8"/>
        <v>44812</v>
      </c>
      <c r="C291" s="3">
        <f t="shared" si="9"/>
        <v>42</v>
      </c>
      <c r="D291" t="s">
        <v>193</v>
      </c>
    </row>
    <row r="292" spans="2:4">
      <c r="B292" s="4">
        <f t="shared" si="8"/>
        <v>44813</v>
      </c>
      <c r="C292" s="3">
        <f t="shared" si="9"/>
        <v>42</v>
      </c>
      <c r="D292" t="s">
        <v>194</v>
      </c>
    </row>
    <row r="293" spans="2:4">
      <c r="B293" s="4">
        <f t="shared" si="8"/>
        <v>44814</v>
      </c>
      <c r="C293" s="3">
        <f t="shared" si="9"/>
        <v>42</v>
      </c>
      <c r="D293" t="s">
        <v>195</v>
      </c>
    </row>
    <row r="294" spans="2:4">
      <c r="B294" s="4">
        <f t="shared" si="8"/>
        <v>44815</v>
      </c>
      <c r="C294" s="3">
        <f t="shared" si="9"/>
        <v>42</v>
      </c>
      <c r="D294" t="s">
        <v>196</v>
      </c>
    </row>
    <row r="295" spans="2:4">
      <c r="B295" s="4">
        <f t="shared" si="8"/>
        <v>44816</v>
      </c>
      <c r="C295" s="3">
        <f t="shared" si="9"/>
        <v>43</v>
      </c>
      <c r="D295" t="s">
        <v>190</v>
      </c>
    </row>
    <row r="296" spans="2:4">
      <c r="B296" s="4">
        <f t="shared" si="8"/>
        <v>44817</v>
      </c>
      <c r="C296" s="3">
        <f t="shared" si="9"/>
        <v>43</v>
      </c>
      <c r="D296" t="s">
        <v>191</v>
      </c>
    </row>
    <row r="297" spans="2:4">
      <c r="B297" s="4">
        <f t="shared" si="8"/>
        <v>44818</v>
      </c>
      <c r="C297" s="3">
        <f t="shared" si="9"/>
        <v>43</v>
      </c>
      <c r="D297" t="s">
        <v>192</v>
      </c>
    </row>
    <row r="298" spans="2:4">
      <c r="B298" s="4">
        <f t="shared" si="8"/>
        <v>44819</v>
      </c>
      <c r="C298" s="3">
        <f t="shared" si="9"/>
        <v>43</v>
      </c>
      <c r="D298" t="s">
        <v>193</v>
      </c>
    </row>
    <row r="299" spans="2:4">
      <c r="B299" s="4">
        <f t="shared" si="8"/>
        <v>44820</v>
      </c>
      <c r="C299" s="3">
        <f t="shared" si="9"/>
        <v>43</v>
      </c>
      <c r="D299" t="s">
        <v>194</v>
      </c>
    </row>
    <row r="300" spans="2:4">
      <c r="B300" s="4">
        <f t="shared" si="8"/>
        <v>44821</v>
      </c>
      <c r="C300" s="3">
        <f t="shared" si="9"/>
        <v>43</v>
      </c>
      <c r="D300" t="s">
        <v>195</v>
      </c>
    </row>
    <row r="301" spans="2:4">
      <c r="B301" s="4">
        <f t="shared" si="8"/>
        <v>44822</v>
      </c>
      <c r="C301" s="3">
        <f t="shared" si="9"/>
        <v>43</v>
      </c>
      <c r="D301" t="s">
        <v>196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31"/>
  <sheetViews>
    <sheetView workbookViewId="0">
      <selection activeCell="B17" sqref="B17"/>
    </sheetView>
  </sheetViews>
  <sheetFormatPr defaultRowHeight="15"/>
  <cols>
    <col min="1" max="1" width="26.42578125" bestFit="1" customWidth="1"/>
    <col min="2" max="2" width="13.28515625" style="5" bestFit="1" customWidth="1"/>
  </cols>
  <sheetData>
    <row r="1" spans="1:2">
      <c r="A1" t="s">
        <v>157</v>
      </c>
      <c r="B1" s="5">
        <v>134.24139437622111</v>
      </c>
    </row>
    <row r="2" spans="1:2">
      <c r="A2" t="s">
        <v>32</v>
      </c>
      <c r="B2" s="5">
        <v>247.89395397660905</v>
      </c>
    </row>
    <row r="3" spans="1:2">
      <c r="A3" t="s">
        <v>47</v>
      </c>
      <c r="B3" s="5">
        <v>236.90944856477213</v>
      </c>
    </row>
    <row r="4" spans="1:2">
      <c r="A4" t="s">
        <v>75</v>
      </c>
      <c r="B4" s="5">
        <v>2000</v>
      </c>
    </row>
    <row r="5" spans="1:2">
      <c r="A5" t="s">
        <v>27</v>
      </c>
      <c r="B5" s="5">
        <v>155.57182168692589</v>
      </c>
    </row>
    <row r="6" spans="1:2">
      <c r="A6" t="s">
        <v>57</v>
      </c>
      <c r="B6" s="5">
        <v>350</v>
      </c>
    </row>
    <row r="7" spans="1:2">
      <c r="A7" t="s">
        <v>51</v>
      </c>
      <c r="B7" s="5">
        <v>1261.9047619047619</v>
      </c>
    </row>
    <row r="8" spans="1:2">
      <c r="A8" t="s">
        <v>71</v>
      </c>
      <c r="B8" s="5">
        <v>513.50426281564182</v>
      </c>
    </row>
    <row r="9" spans="1:2">
      <c r="A9" t="s">
        <v>20</v>
      </c>
      <c r="B9" s="5">
        <v>2317.9512940424352</v>
      </c>
    </row>
    <row r="10" spans="1:2">
      <c r="A10" t="s">
        <v>35</v>
      </c>
      <c r="B10" s="5">
        <v>2550.8020330415566</v>
      </c>
    </row>
    <row r="11" spans="1:2">
      <c r="A11" t="s">
        <v>53</v>
      </c>
      <c r="B11" s="5">
        <v>1283.6297966501836</v>
      </c>
    </row>
    <row r="12" spans="1:2">
      <c r="A12" t="s">
        <v>55</v>
      </c>
      <c r="B12" s="5">
        <v>78.445334999999986</v>
      </c>
    </row>
    <row r="13" spans="1:2">
      <c r="A13" t="s">
        <v>49</v>
      </c>
      <c r="B13" s="5">
        <v>15.222400000000006</v>
      </c>
    </row>
    <row r="14" spans="1:2">
      <c r="A14" t="s">
        <v>45</v>
      </c>
      <c r="B14" s="5">
        <v>39.299999999999997</v>
      </c>
    </row>
    <row r="15" spans="1:2">
      <c r="A15" t="s">
        <v>38</v>
      </c>
      <c r="B15" s="5">
        <v>13455.889210118192</v>
      </c>
    </row>
    <row r="16" spans="1:2">
      <c r="A16" t="s">
        <v>25</v>
      </c>
      <c r="B16" s="5">
        <v>350</v>
      </c>
    </row>
    <row r="17" spans="1:2">
      <c r="A17" t="s">
        <v>16</v>
      </c>
      <c r="B17" s="5">
        <v>36.400132810000002</v>
      </c>
    </row>
    <row r="18" spans="1:2">
      <c r="A18" t="s">
        <v>63</v>
      </c>
      <c r="B18" s="5">
        <v>327.25146699999999</v>
      </c>
    </row>
    <row r="19" spans="1:2">
      <c r="A19" t="s">
        <v>69</v>
      </c>
      <c r="B19" s="5">
        <v>111.67</v>
      </c>
    </row>
    <row r="20" spans="1:2">
      <c r="A20" t="s">
        <v>166</v>
      </c>
      <c r="B20" s="5">
        <v>49.707079999999983</v>
      </c>
    </row>
    <row r="21" spans="1:2">
      <c r="A21" t="s">
        <v>73</v>
      </c>
      <c r="B21" s="5">
        <v>6</v>
      </c>
    </row>
    <row r="22" spans="1:2">
      <c r="A22" t="s">
        <v>61</v>
      </c>
      <c r="B22" s="5">
        <v>31.043507801912533</v>
      </c>
    </row>
    <row r="23" spans="1:2">
      <c r="A23" t="s">
        <v>67</v>
      </c>
      <c r="B23" s="5">
        <v>162.85785630043145</v>
      </c>
    </row>
    <row r="24" spans="1:2">
      <c r="A24" t="s">
        <v>65</v>
      </c>
      <c r="B24" s="5">
        <v>520</v>
      </c>
    </row>
    <row r="25" spans="1:2">
      <c r="A25" t="s">
        <v>164</v>
      </c>
      <c r="B25" s="5">
        <v>111.22574674641417</v>
      </c>
    </row>
    <row r="26" spans="1:2">
      <c r="A26" t="s">
        <v>40</v>
      </c>
      <c r="B26" s="5">
        <v>7</v>
      </c>
    </row>
    <row r="27" spans="1:2">
      <c r="A27" t="s">
        <v>59</v>
      </c>
      <c r="B27" s="5">
        <v>160.77478755454416</v>
      </c>
    </row>
    <row r="28" spans="1:2">
      <c r="A28" t="s">
        <v>42</v>
      </c>
      <c r="B28" s="5">
        <v>295.46807160325829</v>
      </c>
    </row>
    <row r="29" spans="1:2">
      <c r="A29" t="s">
        <v>155</v>
      </c>
      <c r="B29" s="5">
        <v>209.65947672607118</v>
      </c>
    </row>
    <row r="30" spans="1:2">
      <c r="A30" t="s">
        <v>23</v>
      </c>
      <c r="B30" s="5">
        <v>3866.9904848461024</v>
      </c>
    </row>
    <row r="31" spans="1:2">
      <c r="A31" t="s">
        <v>205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120"/>
  <sheetViews>
    <sheetView topLeftCell="A68" zoomScale="70" zoomScaleNormal="70" workbookViewId="0">
      <selection activeCell="R4" sqref="R4:S120"/>
    </sheetView>
  </sheetViews>
  <sheetFormatPr defaultRowHeight="15"/>
  <cols>
    <col min="2" max="2" width="30.42578125" customWidth="1"/>
    <col min="3" max="3" width="16" customWidth="1"/>
    <col min="4" max="4" width="11.5703125" bestFit="1" customWidth="1"/>
    <col min="5" max="5" width="13.85546875" customWidth="1"/>
    <col min="6" max="6" width="18.28515625" style="11" customWidth="1"/>
    <col min="7" max="7" width="18" style="11" customWidth="1"/>
    <col min="8" max="8" width="14" customWidth="1"/>
    <col min="9" max="9" width="15" customWidth="1"/>
    <col min="10" max="10" width="9.140625" style="9"/>
    <col min="11" max="11" width="9.140625" style="3"/>
    <col min="12" max="12" width="25.7109375" style="7" bestFit="1" customWidth="1"/>
    <col min="13" max="14" width="16.5703125" style="3" customWidth="1"/>
    <col min="15" max="15" width="14" style="3" customWidth="1"/>
    <col min="16" max="16" width="15.42578125" style="52" customWidth="1"/>
    <col min="17" max="17" width="20.42578125" style="52" customWidth="1"/>
    <col min="18" max="19" width="27.85546875" bestFit="1" customWidth="1"/>
    <col min="20" max="20" width="17.28515625" bestFit="1" customWidth="1"/>
    <col min="21" max="21" width="16.85546875" bestFit="1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s="11" t="s">
        <v>5</v>
      </c>
      <c r="G1" s="11" t="s">
        <v>6</v>
      </c>
      <c r="H1" t="s">
        <v>7</v>
      </c>
      <c r="I1" t="s">
        <v>8</v>
      </c>
      <c r="J1" s="8" t="s">
        <v>187</v>
      </c>
      <c r="K1" s="1" t="s">
        <v>204</v>
      </c>
      <c r="L1" s="6" t="s">
        <v>188</v>
      </c>
      <c r="M1" s="1" t="s">
        <v>189</v>
      </c>
      <c r="N1" s="1" t="s">
        <v>206</v>
      </c>
      <c r="O1" s="1" t="s">
        <v>207</v>
      </c>
      <c r="P1" s="51" t="s">
        <v>220</v>
      </c>
      <c r="Q1" s="51" t="s">
        <v>221</v>
      </c>
      <c r="R1" s="1" t="s">
        <v>247</v>
      </c>
      <c r="S1" s="1" t="s">
        <v>246</v>
      </c>
      <c r="T1" s="1" t="s">
        <v>248</v>
      </c>
      <c r="U1" s="1" t="s">
        <v>249</v>
      </c>
      <c r="V1" s="1"/>
      <c r="W1" s="1"/>
    </row>
    <row r="2" spans="1:23">
      <c r="A2">
        <v>1</v>
      </c>
      <c r="B2" t="s">
        <v>9</v>
      </c>
      <c r="E2" t="s">
        <v>10</v>
      </c>
      <c r="F2" s="11">
        <v>44522</v>
      </c>
      <c r="G2" s="11">
        <v>44813</v>
      </c>
      <c r="J2" s="9" t="s">
        <v>11</v>
      </c>
      <c r="N2" s="3">
        <f>VLOOKUP(F2,SEMANAS!$B$1:$C$301,2,0)</f>
        <v>1</v>
      </c>
      <c r="O2" s="3">
        <f>VLOOKUP(G2,SEMANAS!$B$1:$C$301,2,0)</f>
        <v>42</v>
      </c>
    </row>
    <row r="3" spans="1:23">
      <c r="A3" t="s">
        <v>12</v>
      </c>
      <c r="B3" t="s">
        <v>13</v>
      </c>
      <c r="E3" t="s">
        <v>14</v>
      </c>
      <c r="F3" s="11">
        <v>44522</v>
      </c>
      <c r="G3" s="11">
        <v>44564</v>
      </c>
      <c r="J3" s="3" t="s">
        <v>11</v>
      </c>
      <c r="N3" s="3">
        <f>VLOOKUP(F3,SEMANAS!$B$1:$C$301,2,0)</f>
        <v>1</v>
      </c>
      <c r="O3" s="3">
        <f>VLOOKUP(G3,SEMANAS!$B$1:$C$301,2,0)</f>
        <v>7</v>
      </c>
    </row>
    <row r="4" spans="1:23">
      <c r="A4" t="s">
        <v>15</v>
      </c>
      <c r="B4" t="s">
        <v>16</v>
      </c>
      <c r="D4" t="s">
        <v>17</v>
      </c>
      <c r="E4" t="s">
        <v>18</v>
      </c>
      <c r="F4" s="11">
        <v>44522</v>
      </c>
      <c r="G4" s="11">
        <v>44526</v>
      </c>
      <c r="J4" s="3">
        <v>74.739999999999995</v>
      </c>
      <c r="K4" s="3" t="s">
        <v>197</v>
      </c>
      <c r="L4" s="7">
        <f>VLOOKUP(B4,'CUSTO ATIVIDADE'!$A$1:$B$30,2,0)</f>
        <v>36.400132810000002</v>
      </c>
      <c r="M4" s="10">
        <f>L4*J4</f>
        <v>2720.5459262193999</v>
      </c>
      <c r="N4" s="3">
        <f>VLOOKUP(F4,SEMANAS!$B$1:$C$301,2,0)</f>
        <v>1</v>
      </c>
      <c r="O4" s="3">
        <f>VLOOKUP(G4,SEMANAS!$B$1:$C$301,2,0)</f>
        <v>1</v>
      </c>
      <c r="P4" s="52">
        <f>VLOOKUP(B4,'MT-MO'!$A$3:$C$31,2,0)</f>
        <v>0.56523337008452779</v>
      </c>
      <c r="Q4" s="52">
        <f>VLOOKUP(B4,'MT-MO'!$A$3:$C$31,3,0)</f>
        <v>0.43476662991547227</v>
      </c>
      <c r="R4" s="53">
        <f>P4*M4</f>
        <v>1537.7433423467246</v>
      </c>
      <c r="S4" s="53">
        <f>Q4*M4</f>
        <v>1182.8025838726755</v>
      </c>
      <c r="T4" s="54">
        <f>F4-15</f>
        <v>44507</v>
      </c>
      <c r="U4" s="54">
        <f>G4+15</f>
        <v>44541</v>
      </c>
    </row>
    <row r="5" spans="1:23">
      <c r="A5" t="s">
        <v>19</v>
      </c>
      <c r="B5" t="s">
        <v>20</v>
      </c>
      <c r="D5" t="s">
        <v>17</v>
      </c>
      <c r="E5" t="s">
        <v>21</v>
      </c>
      <c r="F5" s="11">
        <v>44529</v>
      </c>
      <c r="G5" s="11">
        <v>44540</v>
      </c>
      <c r="J5" s="3">
        <v>14.82</v>
      </c>
      <c r="K5" s="3" t="s">
        <v>198</v>
      </c>
      <c r="L5" s="7">
        <f>VLOOKUP(B5,'CUSTO ATIVIDADE'!$A$1:$B$30,2,0)</f>
        <v>2317.9512940424352</v>
      </c>
      <c r="M5" s="10">
        <f t="shared" ref="M5:M8" si="0">L5*J5</f>
        <v>34352.038177708891</v>
      </c>
      <c r="N5" s="3">
        <f>VLOOKUP(F5,SEMANAS!$B$1:$C$301,2,0)</f>
        <v>2</v>
      </c>
      <c r="O5" s="3">
        <f>VLOOKUP(G5,SEMANAS!$B$1:$C$301,2,0)</f>
        <v>3</v>
      </c>
      <c r="P5" s="52">
        <f>VLOOKUP(B5,'MT-MO'!$A$3:$C$31,2,0)</f>
        <v>0.78946296026779217</v>
      </c>
      <c r="Q5" s="52">
        <f>VLOOKUP(B5,'MT-MO'!$A$3:$C$31,3,0)</f>
        <v>0.21053703973220783</v>
      </c>
      <c r="R5" s="53">
        <f t="shared" ref="R5:R68" si="1">P5*M5</f>
        <v>27119.661751006275</v>
      </c>
      <c r="S5" s="53">
        <f t="shared" ref="S5:S68" si="2">Q5*M5</f>
        <v>7232.3764267026172</v>
      </c>
      <c r="T5" s="54">
        <f t="shared" ref="T5:T68" si="3">F5-15</f>
        <v>44514</v>
      </c>
      <c r="U5" s="54">
        <f t="shared" ref="U5:U68" si="4">G5+15</f>
        <v>44555</v>
      </c>
    </row>
    <row r="6" spans="1:23">
      <c r="A6" t="s">
        <v>22</v>
      </c>
      <c r="B6" t="s">
        <v>23</v>
      </c>
      <c r="D6" t="s">
        <v>17</v>
      </c>
      <c r="E6" t="s">
        <v>18</v>
      </c>
      <c r="F6" s="11">
        <v>44543</v>
      </c>
      <c r="G6" s="11">
        <v>44547</v>
      </c>
      <c r="J6" s="3">
        <v>18.11</v>
      </c>
      <c r="K6" s="3" t="s">
        <v>198</v>
      </c>
      <c r="L6" s="7">
        <f>VLOOKUP(B6,'CUSTO ATIVIDADE'!$A$1:$B$30,2,0)</f>
        <v>3866.9904848461024</v>
      </c>
      <c r="M6" s="10">
        <f t="shared" si="0"/>
        <v>70031.197680562909</v>
      </c>
      <c r="N6" s="3">
        <f>VLOOKUP(F6,SEMANAS!$B$1:$C$301,2,0)</f>
        <v>4</v>
      </c>
      <c r="O6" s="3">
        <f>VLOOKUP(G6,SEMANAS!$B$1:$C$301,2,0)</f>
        <v>4</v>
      </c>
      <c r="P6" s="52">
        <f>VLOOKUP(B6,'MT-MO'!$A$3:$C$31,2,0)</f>
        <v>0.25730234417382863</v>
      </c>
      <c r="Q6" s="52">
        <f>VLOOKUP(B6,'MT-MO'!$A$3:$C$31,3,0)</f>
        <v>0.74269765582617142</v>
      </c>
      <c r="R6" s="53">
        <f t="shared" si="1"/>
        <v>18019.191328509627</v>
      </c>
      <c r="S6" s="53">
        <f t="shared" si="2"/>
        <v>52012.006352053286</v>
      </c>
      <c r="T6" s="54">
        <f t="shared" si="3"/>
        <v>44528</v>
      </c>
      <c r="U6" s="54">
        <f t="shared" si="4"/>
        <v>44562</v>
      </c>
    </row>
    <row r="7" spans="1:23">
      <c r="A7" t="s">
        <v>24</v>
      </c>
      <c r="B7" t="s">
        <v>25</v>
      </c>
      <c r="D7" t="s">
        <v>17</v>
      </c>
      <c r="E7" t="s">
        <v>18</v>
      </c>
      <c r="F7" s="11">
        <v>44550</v>
      </c>
      <c r="G7" s="11">
        <v>44554</v>
      </c>
      <c r="J7" s="3">
        <v>1</v>
      </c>
      <c r="K7" s="3" t="s">
        <v>199</v>
      </c>
      <c r="L7" s="7">
        <f>VLOOKUP(B7,'CUSTO ATIVIDADE'!$A$1:$B$30,2,0)</f>
        <v>350</v>
      </c>
      <c r="M7" s="10">
        <f t="shared" si="0"/>
        <v>350</v>
      </c>
      <c r="N7" s="3">
        <f>VLOOKUP(F7,SEMANAS!$B$1:$C$301,2,0)</f>
        <v>5</v>
      </c>
      <c r="O7" s="3">
        <f>VLOOKUP(G7,SEMANAS!$B$1:$C$301,2,0)</f>
        <v>5</v>
      </c>
      <c r="P7" s="52">
        <f>VLOOKUP(B7,'MT-MO'!$A$3:$C$31,2,0)</f>
        <v>1</v>
      </c>
      <c r="Q7" s="52">
        <f>VLOOKUP(B7,'MT-MO'!$A$3:$C$31,3,0)</f>
        <v>0</v>
      </c>
      <c r="R7" s="53">
        <f t="shared" si="1"/>
        <v>350</v>
      </c>
      <c r="S7" s="53">
        <f t="shared" si="2"/>
        <v>0</v>
      </c>
      <c r="T7" s="54">
        <f t="shared" si="3"/>
        <v>44535</v>
      </c>
      <c r="U7" s="54">
        <f t="shared" si="4"/>
        <v>44569</v>
      </c>
    </row>
    <row r="8" spans="1:23">
      <c r="A8" t="s">
        <v>26</v>
      </c>
      <c r="B8" t="s">
        <v>27</v>
      </c>
      <c r="D8" t="s">
        <v>17</v>
      </c>
      <c r="E8" t="s">
        <v>18</v>
      </c>
      <c r="F8" s="11">
        <v>44557</v>
      </c>
      <c r="G8" s="11">
        <v>44564</v>
      </c>
      <c r="J8" s="3">
        <v>224.41</v>
      </c>
      <c r="K8" s="3" t="s">
        <v>197</v>
      </c>
      <c r="L8" s="7">
        <f>VLOOKUP(B8,'CUSTO ATIVIDADE'!$A$1:$B$30,2,0)</f>
        <v>155.57182168692589</v>
      </c>
      <c r="M8" s="10">
        <f t="shared" si="0"/>
        <v>34911.872504763036</v>
      </c>
      <c r="N8" s="3">
        <f>VLOOKUP(F8,SEMANAS!$B$1:$C$301,2,0)</f>
        <v>6</v>
      </c>
      <c r="O8" s="3">
        <f>VLOOKUP(G8,SEMANAS!$B$1:$C$301,2,0)</f>
        <v>7</v>
      </c>
      <c r="P8" s="52">
        <f>VLOOKUP(B8,'MT-MO'!$A$3:$C$31,2,0)</f>
        <v>0.54167046916318939</v>
      </c>
      <c r="Q8" s="52">
        <f>VLOOKUP(B8,'MT-MO'!$A$3:$C$31,3,0)</f>
        <v>0.45832953083681055</v>
      </c>
      <c r="R8" s="53">
        <f t="shared" si="1"/>
        <v>18910.730359020446</v>
      </c>
      <c r="S8" s="53">
        <f t="shared" si="2"/>
        <v>16001.142145742588</v>
      </c>
      <c r="T8" s="54">
        <f t="shared" si="3"/>
        <v>44542</v>
      </c>
      <c r="U8" s="54">
        <f t="shared" si="4"/>
        <v>44579</v>
      </c>
    </row>
    <row r="9" spans="1:23">
      <c r="A9" t="s">
        <v>28</v>
      </c>
      <c r="B9" t="s">
        <v>29</v>
      </c>
      <c r="E9" t="s">
        <v>30</v>
      </c>
      <c r="F9" s="11">
        <v>44565</v>
      </c>
      <c r="G9" s="11">
        <v>44791</v>
      </c>
      <c r="J9" s="3" t="s">
        <v>11</v>
      </c>
      <c r="N9" s="3">
        <f>VLOOKUP(F9,SEMANAS!$B$1:$C$301,2,0)</f>
        <v>7</v>
      </c>
      <c r="O9" s="3">
        <f>VLOOKUP(G9,SEMANAS!$B$1:$C$301,2,0)</f>
        <v>39</v>
      </c>
      <c r="R9" s="53">
        <f t="shared" si="1"/>
        <v>0</v>
      </c>
      <c r="S9" s="53">
        <f t="shared" si="2"/>
        <v>0</v>
      </c>
      <c r="T9" s="54">
        <f t="shared" si="3"/>
        <v>44550</v>
      </c>
      <c r="U9" s="54">
        <f t="shared" si="4"/>
        <v>44806</v>
      </c>
    </row>
    <row r="10" spans="1:23">
      <c r="A10" t="s">
        <v>31</v>
      </c>
      <c r="B10" t="s">
        <v>32</v>
      </c>
      <c r="D10" t="s">
        <v>33</v>
      </c>
      <c r="E10" t="s">
        <v>18</v>
      </c>
      <c r="F10" s="11">
        <v>44565</v>
      </c>
      <c r="G10" s="11">
        <v>44571</v>
      </c>
      <c r="J10" s="3">
        <v>389.58</v>
      </c>
      <c r="K10" s="3" t="s">
        <v>197</v>
      </c>
      <c r="L10" s="7">
        <f>VLOOKUP(B10,'CUSTO ATIVIDADE'!$A$1:$B$30,2,0)</f>
        <v>247.89395397660905</v>
      </c>
      <c r="M10" s="10">
        <f t="shared" ref="M10:M30" si="5">L10*J10</f>
        <v>96574.526590207359</v>
      </c>
      <c r="N10" s="3">
        <f>VLOOKUP(F10,SEMANAS!$B$1:$C$301,2,0)</f>
        <v>7</v>
      </c>
      <c r="O10" s="3">
        <f>VLOOKUP(G10,SEMANAS!$B$1:$C$301,2,0)</f>
        <v>8</v>
      </c>
      <c r="P10" s="52">
        <f>VLOOKUP(B10,'MT-MO'!$A$3:$C$31,2,0)</f>
        <v>0.13858702989570013</v>
      </c>
      <c r="Q10" s="52">
        <f>VLOOKUP(B10,'MT-MO'!$A$3:$C$31,3,0)</f>
        <v>0.86141297010429985</v>
      </c>
      <c r="R10" s="53">
        <f t="shared" si="1"/>
        <v>13383.976803720154</v>
      </c>
      <c r="S10" s="53">
        <f t="shared" si="2"/>
        <v>83190.549786487201</v>
      </c>
      <c r="T10" s="54">
        <f t="shared" si="3"/>
        <v>44550</v>
      </c>
      <c r="U10" s="54">
        <f t="shared" si="4"/>
        <v>44586</v>
      </c>
    </row>
    <row r="11" spans="1:23">
      <c r="A11" t="s">
        <v>34</v>
      </c>
      <c r="B11" t="s">
        <v>35</v>
      </c>
      <c r="C11" t="s">
        <v>36</v>
      </c>
      <c r="D11" t="s">
        <v>33</v>
      </c>
      <c r="E11" t="s">
        <v>18</v>
      </c>
      <c r="F11" s="11">
        <v>44572</v>
      </c>
      <c r="G11" s="11">
        <v>44578</v>
      </c>
      <c r="J11" s="3">
        <v>25.44</v>
      </c>
      <c r="K11" s="3" t="s">
        <v>198</v>
      </c>
      <c r="L11" s="7">
        <f>VLOOKUP(B11,'CUSTO ATIVIDADE'!$A$1:$B$30,2,0)</f>
        <v>2550.8020330415566</v>
      </c>
      <c r="M11" s="10">
        <f t="shared" si="5"/>
        <v>64892.403720577204</v>
      </c>
      <c r="N11" s="3">
        <f>VLOOKUP(F11,SEMANAS!$B$1:$C$301,2,0)</f>
        <v>8</v>
      </c>
      <c r="O11" s="3">
        <f>VLOOKUP(G11,SEMANAS!$B$1:$C$301,2,0)</f>
        <v>9</v>
      </c>
      <c r="P11" s="52">
        <f>VLOOKUP(B11,'MT-MO'!$A$3:$C$31,2,0)</f>
        <v>0.38396280966583479</v>
      </c>
      <c r="Q11" s="52">
        <f>VLOOKUP(B11,'MT-MO'!$A$3:$C$31,3,0)</f>
        <v>0.61603719033416515</v>
      </c>
      <c r="R11" s="53">
        <f t="shared" si="1"/>
        <v>24916.269658522495</v>
      </c>
      <c r="S11" s="53">
        <f t="shared" si="2"/>
        <v>39976.134062054705</v>
      </c>
      <c r="T11" s="54">
        <f t="shared" si="3"/>
        <v>44557</v>
      </c>
      <c r="U11" s="54">
        <f t="shared" si="4"/>
        <v>44593</v>
      </c>
    </row>
    <row r="12" spans="1:23">
      <c r="A12" t="s">
        <v>37</v>
      </c>
      <c r="B12" t="s">
        <v>38</v>
      </c>
      <c r="D12" t="s">
        <v>33</v>
      </c>
      <c r="E12" t="s">
        <v>18</v>
      </c>
      <c r="F12" s="11">
        <v>44607</v>
      </c>
      <c r="G12" s="11">
        <v>44613</v>
      </c>
      <c r="J12" s="3">
        <v>1</v>
      </c>
      <c r="K12" s="3" t="s">
        <v>200</v>
      </c>
      <c r="L12" s="7">
        <f>VLOOKUP(B12,'CUSTO ATIVIDADE'!$A$1:$B$30,2,0)</f>
        <v>13455.889210118192</v>
      </c>
      <c r="M12" s="10">
        <f t="shared" si="5"/>
        <v>13455.889210118192</v>
      </c>
      <c r="N12" s="3">
        <f>VLOOKUP(F12,SEMANAS!$B$1:$C$301,2,0)</f>
        <v>13</v>
      </c>
      <c r="O12" s="3">
        <f>VLOOKUP(G12,SEMANAS!$B$1:$C$301,2,0)</f>
        <v>14</v>
      </c>
      <c r="P12" s="52">
        <f>VLOOKUP(B12,'MT-MO'!$A$3:$C$31,2,0)</f>
        <v>0.35672482024413354</v>
      </c>
      <c r="Q12" s="52">
        <f>VLOOKUP(B12,'MT-MO'!$A$3:$C$31,3,0)</f>
        <v>0.64327517975586646</v>
      </c>
      <c r="R12" s="53">
        <f t="shared" si="1"/>
        <v>4800.0496597043884</v>
      </c>
      <c r="S12" s="53">
        <f t="shared" si="2"/>
        <v>8655.8395504138043</v>
      </c>
      <c r="T12" s="54">
        <f t="shared" si="3"/>
        <v>44592</v>
      </c>
      <c r="U12" s="54">
        <f t="shared" si="4"/>
        <v>44628</v>
      </c>
    </row>
    <row r="13" spans="1:23">
      <c r="A13" t="s">
        <v>39</v>
      </c>
      <c r="B13" t="s">
        <v>40</v>
      </c>
      <c r="D13" t="s">
        <v>33</v>
      </c>
      <c r="E13" t="s">
        <v>18</v>
      </c>
      <c r="F13" s="11">
        <v>44621</v>
      </c>
      <c r="G13" s="11">
        <v>44627</v>
      </c>
      <c r="J13" s="3">
        <v>140.59</v>
      </c>
      <c r="K13" s="3" t="s">
        <v>197</v>
      </c>
      <c r="L13" s="7">
        <f>VLOOKUP(B13,'CUSTO ATIVIDADE'!$A$1:$B$30,2,0)</f>
        <v>7</v>
      </c>
      <c r="M13" s="10">
        <f t="shared" si="5"/>
        <v>984.13</v>
      </c>
      <c r="N13" s="3">
        <f>VLOOKUP(F13,SEMANAS!$B$1:$C$301,2,0)</f>
        <v>15</v>
      </c>
      <c r="O13" s="3">
        <f>VLOOKUP(G13,SEMANAS!$B$1:$C$301,2,0)</f>
        <v>16</v>
      </c>
      <c r="P13" s="52">
        <f>VLOOKUP(B13,'MT-MO'!$A$3:$C$31,2,0)</f>
        <v>0.26486813778256191</v>
      </c>
      <c r="Q13" s="52">
        <f>VLOOKUP(B13,'MT-MO'!$A$3:$C$31,3,0)</f>
        <v>0.73513186221743809</v>
      </c>
      <c r="R13" s="53">
        <f t="shared" si="1"/>
        <v>260.66468043595268</v>
      </c>
      <c r="S13" s="53">
        <f t="shared" si="2"/>
        <v>723.46531956404738</v>
      </c>
      <c r="T13" s="54">
        <f t="shared" si="3"/>
        <v>44606</v>
      </c>
      <c r="U13" s="54">
        <f t="shared" si="4"/>
        <v>44642</v>
      </c>
    </row>
    <row r="14" spans="1:23">
      <c r="A14" t="s">
        <v>41</v>
      </c>
      <c r="B14" t="s">
        <v>42</v>
      </c>
      <c r="D14" t="s">
        <v>33</v>
      </c>
      <c r="E14" t="s">
        <v>43</v>
      </c>
      <c r="F14" s="11">
        <v>44649</v>
      </c>
      <c r="G14" s="11">
        <v>44651</v>
      </c>
      <c r="J14" s="3">
        <v>10.69</v>
      </c>
      <c r="K14" s="3" t="s">
        <v>197</v>
      </c>
      <c r="L14" s="7">
        <f>VLOOKUP(B14,'CUSTO ATIVIDADE'!$A$1:$B$30,2,0)</f>
        <v>295.46807160325829</v>
      </c>
      <c r="M14" s="10">
        <f t="shared" si="5"/>
        <v>3158.5536854388311</v>
      </c>
      <c r="N14" s="3">
        <f>VLOOKUP(F14,SEMANAS!$B$1:$C$301,2,0)</f>
        <v>19</v>
      </c>
      <c r="O14" s="3">
        <f>VLOOKUP(G14,SEMANAS!$B$1:$C$301,2,0)</f>
        <v>19</v>
      </c>
      <c r="P14" s="52">
        <f>VLOOKUP(B14,'MT-MO'!$A$3:$C$31,2,0)</f>
        <v>0.62478082992402106</v>
      </c>
      <c r="Q14" s="52">
        <f>VLOOKUP(B14,'MT-MO'!$A$3:$C$31,3,0)</f>
        <v>0.37521917007597894</v>
      </c>
      <c r="R14" s="53">
        <f t="shared" si="1"/>
        <v>1973.4037929480482</v>
      </c>
      <c r="S14" s="53">
        <f t="shared" si="2"/>
        <v>1185.1498924907828</v>
      </c>
      <c r="T14" s="54">
        <f t="shared" si="3"/>
        <v>44634</v>
      </c>
      <c r="U14" s="54">
        <f t="shared" si="4"/>
        <v>44666</v>
      </c>
    </row>
    <row r="15" spans="1:23">
      <c r="A15" t="s">
        <v>44</v>
      </c>
      <c r="B15" t="s">
        <v>45</v>
      </c>
      <c r="D15" t="s">
        <v>33</v>
      </c>
      <c r="E15" t="s">
        <v>18</v>
      </c>
      <c r="F15" s="11">
        <v>44651</v>
      </c>
      <c r="G15" s="11">
        <v>44658</v>
      </c>
      <c r="J15" s="3">
        <v>6.08</v>
      </c>
      <c r="K15" s="3" t="s">
        <v>197</v>
      </c>
      <c r="L15" s="7">
        <f>VLOOKUP(B15,'CUSTO ATIVIDADE'!$A$1:$B$30,2,0)</f>
        <v>39.299999999999997</v>
      </c>
      <c r="M15" s="10">
        <f t="shared" si="5"/>
        <v>238.94399999999999</v>
      </c>
      <c r="N15" s="3">
        <f>VLOOKUP(F15,SEMANAS!$B$1:$C$301,2,0)</f>
        <v>19</v>
      </c>
      <c r="O15" s="3">
        <f>VLOOKUP(G15,SEMANAS!$B$1:$C$301,2,0)</f>
        <v>20</v>
      </c>
      <c r="P15" s="52">
        <f>VLOOKUP(B15,'MT-MO'!$A$3:$C$31,2,0)</f>
        <v>0.45815899581589958</v>
      </c>
      <c r="Q15" s="52">
        <f>VLOOKUP(B15,'MT-MO'!$A$3:$C$31,3,0)</f>
        <v>0.54184100418410042</v>
      </c>
      <c r="R15" s="53">
        <f t="shared" si="1"/>
        <v>109.47434309623431</v>
      </c>
      <c r="S15" s="53">
        <f t="shared" si="2"/>
        <v>129.4696569037657</v>
      </c>
      <c r="T15" s="54">
        <f t="shared" si="3"/>
        <v>44636</v>
      </c>
      <c r="U15" s="54">
        <f t="shared" si="4"/>
        <v>44673</v>
      </c>
    </row>
    <row r="16" spans="1:23">
      <c r="A16" t="s">
        <v>46</v>
      </c>
      <c r="B16" t="s">
        <v>47</v>
      </c>
      <c r="D16" t="s">
        <v>33</v>
      </c>
      <c r="E16" t="s">
        <v>18</v>
      </c>
      <c r="F16" s="11">
        <v>44665</v>
      </c>
      <c r="G16" s="11">
        <v>44672</v>
      </c>
      <c r="J16" s="3">
        <v>86.26</v>
      </c>
      <c r="K16" s="3" t="s">
        <v>197</v>
      </c>
      <c r="L16" s="7">
        <f>VLOOKUP(B16,'CUSTO ATIVIDADE'!$A$1:$B$30,2,0)</f>
        <v>236.90944856477213</v>
      </c>
      <c r="M16" s="10">
        <f t="shared" si="5"/>
        <v>20435.809033197245</v>
      </c>
      <c r="N16" s="3">
        <f>VLOOKUP(F16,SEMANAS!$B$1:$C$301,2,0)</f>
        <v>21</v>
      </c>
      <c r="O16" s="3">
        <f>VLOOKUP(G16,SEMANAS!$B$1:$C$301,2,0)</f>
        <v>22</v>
      </c>
      <c r="P16" s="52">
        <f>VLOOKUP(B16,'MT-MO'!$A$3:$C$31,2,0)</f>
        <v>0.57761004134961225</v>
      </c>
      <c r="Q16" s="52">
        <f>VLOOKUP(B16,'MT-MO'!$A$3:$C$31,3,0)</f>
        <v>0.42238995865038781</v>
      </c>
      <c r="R16" s="53">
        <f t="shared" si="1"/>
        <v>11803.928500677841</v>
      </c>
      <c r="S16" s="53">
        <f t="shared" si="2"/>
        <v>8631.8805325194062</v>
      </c>
      <c r="T16" s="54">
        <f t="shared" si="3"/>
        <v>44650</v>
      </c>
      <c r="U16" s="54">
        <f t="shared" si="4"/>
        <v>44687</v>
      </c>
    </row>
    <row r="17" spans="1:21">
      <c r="A17" t="s">
        <v>48</v>
      </c>
      <c r="B17" t="s">
        <v>49</v>
      </c>
      <c r="D17" t="s">
        <v>33</v>
      </c>
      <c r="E17" t="s">
        <v>18</v>
      </c>
      <c r="F17" s="11">
        <v>44679</v>
      </c>
      <c r="G17" s="11">
        <v>44686</v>
      </c>
      <c r="J17" s="3">
        <v>447.45</v>
      </c>
      <c r="K17" s="3" t="s">
        <v>197</v>
      </c>
      <c r="L17" s="7">
        <f>VLOOKUP(B17,'CUSTO ATIVIDADE'!$A$1:$B$30,2,0)</f>
        <v>15.222400000000006</v>
      </c>
      <c r="M17" s="10">
        <f t="shared" si="5"/>
        <v>6811.262880000002</v>
      </c>
      <c r="N17" s="3">
        <f>VLOOKUP(F17,SEMANAS!$B$1:$C$301,2,0)</f>
        <v>23</v>
      </c>
      <c r="O17" s="3">
        <f>VLOOKUP(G17,SEMANAS!$B$1:$C$301,2,0)</f>
        <v>24</v>
      </c>
      <c r="P17" s="52">
        <f>VLOOKUP(B17,'MT-MO'!$A$3:$C$31,2,0)</f>
        <v>0.45986419526518629</v>
      </c>
      <c r="Q17" s="52">
        <f>VLOOKUP(B17,'MT-MO'!$A$3:$C$31,3,0)</f>
        <v>0.54013580473481371</v>
      </c>
      <c r="R17" s="53">
        <f t="shared" si="1"/>
        <v>3132.2559230508359</v>
      </c>
      <c r="S17" s="53">
        <f t="shared" si="2"/>
        <v>3679.0069569491661</v>
      </c>
      <c r="T17" s="54">
        <f t="shared" si="3"/>
        <v>44664</v>
      </c>
      <c r="U17" s="54">
        <f t="shared" si="4"/>
        <v>44701</v>
      </c>
    </row>
    <row r="18" spans="1:21">
      <c r="A18" t="s">
        <v>50</v>
      </c>
      <c r="B18" t="s">
        <v>51</v>
      </c>
      <c r="D18" t="s">
        <v>33</v>
      </c>
      <c r="E18" t="s">
        <v>18</v>
      </c>
      <c r="F18" s="11">
        <v>44700</v>
      </c>
      <c r="G18" s="11">
        <v>44707</v>
      </c>
      <c r="J18" s="3">
        <v>21</v>
      </c>
      <c r="K18" s="3" t="s">
        <v>201</v>
      </c>
      <c r="L18" s="7">
        <f>VLOOKUP(B18,'CUSTO ATIVIDADE'!$A$1:$B$30,2,0)</f>
        <v>1261.9047619047619</v>
      </c>
      <c r="M18" s="10">
        <f t="shared" si="5"/>
        <v>26500</v>
      </c>
      <c r="N18" s="3">
        <f>VLOOKUP(F18,SEMANAS!$B$1:$C$301,2,0)</f>
        <v>26</v>
      </c>
      <c r="O18" s="3">
        <f>VLOOKUP(G18,SEMANAS!$B$1:$C$301,2,0)</f>
        <v>27</v>
      </c>
      <c r="P18" s="52">
        <f>VLOOKUP(B18,'MT-MO'!$A$3:$C$31,2,0)</f>
        <v>0.19811320754716982</v>
      </c>
      <c r="Q18" s="52">
        <f>VLOOKUP(B18,'MT-MO'!$A$3:$C$31,3,0)</f>
        <v>0.80188679245283023</v>
      </c>
      <c r="R18" s="53">
        <f t="shared" si="1"/>
        <v>5250</v>
      </c>
      <c r="S18" s="53">
        <f t="shared" si="2"/>
        <v>21250</v>
      </c>
      <c r="T18" s="54">
        <f t="shared" si="3"/>
        <v>44685</v>
      </c>
      <c r="U18" s="54">
        <f t="shared" si="4"/>
        <v>44722</v>
      </c>
    </row>
    <row r="19" spans="1:21">
      <c r="A19" t="s">
        <v>52</v>
      </c>
      <c r="B19" t="s">
        <v>53</v>
      </c>
      <c r="D19" t="s">
        <v>33</v>
      </c>
      <c r="E19" t="s">
        <v>18</v>
      </c>
      <c r="F19" s="11">
        <v>44707</v>
      </c>
      <c r="G19" s="11">
        <v>44714</v>
      </c>
      <c r="J19" s="3">
        <v>4</v>
      </c>
      <c r="K19" s="3" t="s">
        <v>202</v>
      </c>
      <c r="L19" s="7">
        <f>VLOOKUP(B19,'CUSTO ATIVIDADE'!$A$1:$B$30,2,0)</f>
        <v>1283.6297966501836</v>
      </c>
      <c r="M19" s="10">
        <f t="shared" si="5"/>
        <v>5134.5191866007344</v>
      </c>
      <c r="N19" s="3">
        <f>VLOOKUP(F19,SEMANAS!$B$1:$C$301,2,0)</f>
        <v>27</v>
      </c>
      <c r="O19" s="3">
        <f>VLOOKUP(G19,SEMANAS!$B$1:$C$301,2,0)</f>
        <v>28</v>
      </c>
      <c r="P19" s="52">
        <f>VLOOKUP(B19,'MT-MO'!$A$3:$C$31,2,0)</f>
        <v>0.62323497906319991</v>
      </c>
      <c r="Q19" s="52">
        <f>VLOOKUP(B19,'MT-MO'!$A$3:$C$31,3,0)</f>
        <v>0.37676502093680009</v>
      </c>
      <c r="R19" s="53">
        <f t="shared" si="1"/>
        <v>3200.011957760707</v>
      </c>
      <c r="S19" s="53">
        <f t="shared" si="2"/>
        <v>1934.5072288400274</v>
      </c>
      <c r="T19" s="54">
        <f t="shared" si="3"/>
        <v>44692</v>
      </c>
      <c r="U19" s="54">
        <f t="shared" si="4"/>
        <v>44729</v>
      </c>
    </row>
    <row r="20" spans="1:21">
      <c r="A20" t="s">
        <v>54</v>
      </c>
      <c r="B20" t="s">
        <v>55</v>
      </c>
      <c r="D20" t="s">
        <v>33</v>
      </c>
      <c r="E20" t="s">
        <v>18</v>
      </c>
      <c r="F20" s="11">
        <v>44721</v>
      </c>
      <c r="G20" s="11">
        <v>44728</v>
      </c>
      <c r="J20" s="3">
        <v>29.29</v>
      </c>
      <c r="K20" s="3" t="s">
        <v>197</v>
      </c>
      <c r="L20" s="7">
        <f>VLOOKUP(B20,'CUSTO ATIVIDADE'!$A$1:$B$30,2,0)</f>
        <v>78.445334999999986</v>
      </c>
      <c r="M20" s="10">
        <f t="shared" si="5"/>
        <v>2297.6638621499997</v>
      </c>
      <c r="N20" s="3">
        <f>VLOOKUP(F20,SEMANAS!$B$1:$C$301,2,0)</f>
        <v>29</v>
      </c>
      <c r="O20" s="3">
        <f>VLOOKUP(G20,SEMANAS!$B$1:$C$301,2,0)</f>
        <v>30</v>
      </c>
      <c r="P20" s="52">
        <f>VLOOKUP(B20,'MT-MO'!$A$3:$C$31,2,0)</f>
        <v>0.31868131868131866</v>
      </c>
      <c r="Q20" s="52">
        <f>VLOOKUP(B20,'MT-MO'!$A$3:$C$31,3,0)</f>
        <v>0.68131868131868134</v>
      </c>
      <c r="R20" s="53">
        <f t="shared" si="1"/>
        <v>732.2225494763735</v>
      </c>
      <c r="S20" s="53">
        <f t="shared" si="2"/>
        <v>1565.4413126736263</v>
      </c>
      <c r="T20" s="54">
        <f t="shared" si="3"/>
        <v>44706</v>
      </c>
      <c r="U20" s="54">
        <f t="shared" si="4"/>
        <v>44743</v>
      </c>
    </row>
    <row r="21" spans="1:21">
      <c r="A21" t="s">
        <v>56</v>
      </c>
      <c r="B21" t="s">
        <v>57</v>
      </c>
      <c r="D21" t="s">
        <v>33</v>
      </c>
      <c r="E21" t="s">
        <v>43</v>
      </c>
      <c r="F21" s="11">
        <v>44728</v>
      </c>
      <c r="G21" s="11">
        <v>44732</v>
      </c>
      <c r="J21" s="3">
        <v>4</v>
      </c>
      <c r="K21" s="3" t="s">
        <v>202</v>
      </c>
      <c r="L21" s="7">
        <f>VLOOKUP(B21,'CUSTO ATIVIDADE'!$A$1:$B$30,2,0)</f>
        <v>350</v>
      </c>
      <c r="M21" s="10">
        <f t="shared" si="5"/>
        <v>1400</v>
      </c>
      <c r="N21" s="3">
        <f>VLOOKUP(F21,SEMANAS!$B$1:$C$301,2,0)</f>
        <v>30</v>
      </c>
      <c r="O21" s="3">
        <f>VLOOKUP(G21,SEMANAS!$B$1:$C$301,2,0)</f>
        <v>31</v>
      </c>
      <c r="P21" s="52">
        <f>VLOOKUP(B21,'MT-MO'!$A$3:$C$31,2,0)</f>
        <v>1</v>
      </c>
      <c r="Q21" s="52">
        <f>VLOOKUP(B21,'MT-MO'!$A$3:$C$31,3,0)</f>
        <v>0</v>
      </c>
      <c r="R21" s="53">
        <f t="shared" si="1"/>
        <v>1400</v>
      </c>
      <c r="S21" s="53">
        <f t="shared" si="2"/>
        <v>0</v>
      </c>
      <c r="T21" s="54">
        <f t="shared" si="3"/>
        <v>44713</v>
      </c>
      <c r="U21" s="54">
        <f t="shared" si="4"/>
        <v>44747</v>
      </c>
    </row>
    <row r="22" spans="1:21">
      <c r="A22" t="s">
        <v>58</v>
      </c>
      <c r="B22" t="s">
        <v>59</v>
      </c>
      <c r="C22" t="s">
        <v>36</v>
      </c>
      <c r="D22" t="s">
        <v>33</v>
      </c>
      <c r="E22" t="s">
        <v>18</v>
      </c>
      <c r="F22" s="11">
        <v>44728</v>
      </c>
      <c r="G22" s="11">
        <v>44735</v>
      </c>
      <c r="J22" s="3">
        <v>22.5</v>
      </c>
      <c r="K22" s="3" t="s">
        <v>197</v>
      </c>
      <c r="L22" s="7">
        <f>VLOOKUP(B22,'CUSTO ATIVIDADE'!$A$1:$B$30,2,0)</f>
        <v>160.77478755454416</v>
      </c>
      <c r="M22" s="10">
        <f t="shared" si="5"/>
        <v>3617.4327199772438</v>
      </c>
      <c r="N22" s="3">
        <f>VLOOKUP(F22,SEMANAS!$B$1:$C$301,2,0)</f>
        <v>30</v>
      </c>
      <c r="O22" s="3">
        <f>VLOOKUP(G22,SEMANAS!$B$1:$C$301,2,0)</f>
        <v>31</v>
      </c>
      <c r="P22" s="52">
        <f>VLOOKUP(B22,'MT-MO'!$A$3:$C$31,2,0)</f>
        <v>0.28742225293711127</v>
      </c>
      <c r="Q22" s="52">
        <f>VLOOKUP(B22,'MT-MO'!$A$3:$C$31,3,0)</f>
        <v>0.71257774706288879</v>
      </c>
      <c r="R22" s="53">
        <f t="shared" si="1"/>
        <v>1039.7306622242818</v>
      </c>
      <c r="S22" s="53">
        <f t="shared" si="2"/>
        <v>2577.7020577529624</v>
      </c>
      <c r="T22" s="54">
        <f t="shared" si="3"/>
        <v>44713</v>
      </c>
      <c r="U22" s="54">
        <f t="shared" si="4"/>
        <v>44750</v>
      </c>
    </row>
    <row r="23" spans="1:21">
      <c r="A23" t="s">
        <v>60</v>
      </c>
      <c r="B23" t="s">
        <v>61</v>
      </c>
      <c r="D23" t="s">
        <v>33</v>
      </c>
      <c r="E23" t="s">
        <v>18</v>
      </c>
      <c r="F23" s="11">
        <v>44735</v>
      </c>
      <c r="G23" s="11">
        <v>44742</v>
      </c>
      <c r="J23" s="3">
        <v>476.74</v>
      </c>
      <c r="K23" s="3" t="s">
        <v>197</v>
      </c>
      <c r="L23" s="7">
        <f>VLOOKUP(B23,'CUSTO ATIVIDADE'!$A$1:$B$30,2,0)</f>
        <v>31.043507801912533</v>
      </c>
      <c r="M23" s="10">
        <f t="shared" si="5"/>
        <v>14799.681909483781</v>
      </c>
      <c r="N23" s="3">
        <f>VLOOKUP(F23,SEMANAS!$B$1:$C$301,2,0)</f>
        <v>31</v>
      </c>
      <c r="O23" s="3">
        <f>VLOOKUP(G23,SEMANAS!$B$1:$C$301,2,0)</f>
        <v>32</v>
      </c>
      <c r="P23" s="52">
        <f>VLOOKUP(B23,'MT-MO'!$A$3:$C$31,2,0)</f>
        <v>0.52623399439170238</v>
      </c>
      <c r="Q23" s="52">
        <f>VLOOKUP(B23,'MT-MO'!$A$3:$C$31,3,0)</f>
        <v>0.47376600560829757</v>
      </c>
      <c r="R23" s="53">
        <f t="shared" si="1"/>
        <v>7788.0957269542669</v>
      </c>
      <c r="S23" s="53">
        <f t="shared" si="2"/>
        <v>7011.5861825295133</v>
      </c>
      <c r="T23" s="54">
        <f t="shared" si="3"/>
        <v>44720</v>
      </c>
      <c r="U23" s="54">
        <f t="shared" si="4"/>
        <v>44757</v>
      </c>
    </row>
    <row r="24" spans="1:21">
      <c r="A24" t="s">
        <v>62</v>
      </c>
      <c r="B24" t="s">
        <v>63</v>
      </c>
      <c r="C24" t="s">
        <v>36</v>
      </c>
      <c r="D24" t="s">
        <v>33</v>
      </c>
      <c r="E24" t="s">
        <v>43</v>
      </c>
      <c r="F24" s="11">
        <v>44754</v>
      </c>
      <c r="G24" s="11">
        <v>44756</v>
      </c>
      <c r="J24" s="3">
        <v>16</v>
      </c>
      <c r="K24" s="3" t="s">
        <v>201</v>
      </c>
      <c r="L24" s="7">
        <f>VLOOKUP(B24,'CUSTO ATIVIDADE'!$A$1:$B$30,2,0)</f>
        <v>327.25146699999999</v>
      </c>
      <c r="M24" s="10">
        <f t="shared" si="5"/>
        <v>5236.0234719999999</v>
      </c>
      <c r="N24" s="3">
        <f>VLOOKUP(F24,SEMANAS!$B$1:$C$301,2,0)</f>
        <v>34</v>
      </c>
      <c r="O24" s="3">
        <f>VLOOKUP(G24,SEMANAS!$B$1:$C$301,2,0)</f>
        <v>34</v>
      </c>
      <c r="P24" s="52">
        <f>VLOOKUP(B24,'MT-MO'!$A$3:$C$31,2,0)</f>
        <v>0.15279568352194051</v>
      </c>
      <c r="Q24" s="52">
        <f>VLOOKUP(B24,'MT-MO'!$A$3:$C$31,3,0)</f>
        <v>0.84720431647805949</v>
      </c>
      <c r="R24" s="53">
        <f t="shared" si="1"/>
        <v>800.04178534116409</v>
      </c>
      <c r="S24" s="53">
        <f t="shared" si="2"/>
        <v>4435.9816866588353</v>
      </c>
      <c r="T24" s="54">
        <f t="shared" si="3"/>
        <v>44739</v>
      </c>
      <c r="U24" s="54">
        <f t="shared" si="4"/>
        <v>44771</v>
      </c>
    </row>
    <row r="25" spans="1:21">
      <c r="A25" t="s">
        <v>64</v>
      </c>
      <c r="B25" t="s">
        <v>65</v>
      </c>
      <c r="C25" t="s">
        <v>36</v>
      </c>
      <c r="D25" t="s">
        <v>33</v>
      </c>
      <c r="E25" t="s">
        <v>43</v>
      </c>
      <c r="F25" s="11">
        <v>44756</v>
      </c>
      <c r="G25" s="11">
        <v>44760</v>
      </c>
      <c r="J25" s="3">
        <v>20</v>
      </c>
      <c r="K25" s="3" t="s">
        <v>201</v>
      </c>
      <c r="L25" s="7">
        <f>VLOOKUP(B25,'CUSTO ATIVIDADE'!$A$1:$B$30,2,0)</f>
        <v>520</v>
      </c>
      <c r="M25" s="10">
        <f t="shared" si="5"/>
        <v>10400</v>
      </c>
      <c r="N25" s="3">
        <f>VLOOKUP(F25,SEMANAS!$B$1:$C$301,2,0)</f>
        <v>34</v>
      </c>
      <c r="O25" s="3">
        <f>VLOOKUP(G25,SEMANAS!$B$1:$C$301,2,0)</f>
        <v>35</v>
      </c>
      <c r="P25" s="52">
        <f>VLOOKUP(B25,'MT-MO'!$A$3:$C$31,2,0)</f>
        <v>0.15384615384615385</v>
      </c>
      <c r="Q25" s="52">
        <f>VLOOKUP(B25,'MT-MO'!$A$3:$C$31,3,0)</f>
        <v>0.84615384615384615</v>
      </c>
      <c r="R25" s="53">
        <f t="shared" si="1"/>
        <v>1600</v>
      </c>
      <c r="S25" s="53">
        <f t="shared" si="2"/>
        <v>8800</v>
      </c>
      <c r="T25" s="54">
        <f t="shared" si="3"/>
        <v>44741</v>
      </c>
      <c r="U25" s="54">
        <f t="shared" si="4"/>
        <v>44775</v>
      </c>
    </row>
    <row r="26" spans="1:21">
      <c r="A26" t="s">
        <v>66</v>
      </c>
      <c r="B26" t="s">
        <v>67</v>
      </c>
      <c r="D26" t="s">
        <v>33</v>
      </c>
      <c r="E26" t="s">
        <v>18</v>
      </c>
      <c r="F26" s="11">
        <v>44761</v>
      </c>
      <c r="G26" s="11">
        <v>44767</v>
      </c>
      <c r="J26" s="3">
        <v>80.88</v>
      </c>
      <c r="K26" s="3" t="s">
        <v>197</v>
      </c>
      <c r="L26" s="7">
        <f>VLOOKUP(B26,'CUSTO ATIVIDADE'!$A$1:$B$30,2,0)</f>
        <v>162.85785630043145</v>
      </c>
      <c r="M26" s="10">
        <f t="shared" si="5"/>
        <v>13171.943417578896</v>
      </c>
      <c r="N26" s="3">
        <f>VLOOKUP(F26,SEMANAS!$B$1:$C$301,2,0)</f>
        <v>35</v>
      </c>
      <c r="O26" s="3">
        <f>VLOOKUP(G26,SEMANAS!$B$1:$C$301,2,0)</f>
        <v>36</v>
      </c>
      <c r="P26" s="52">
        <f>VLOOKUP(B26,'MT-MO'!$A$3:$C$31,2,0)</f>
        <v>0.15351618107620765</v>
      </c>
      <c r="Q26" s="52">
        <f>VLOOKUP(B26,'MT-MO'!$A$3:$C$31,3,0)</f>
        <v>0.84648381892379232</v>
      </c>
      <c r="R26" s="53">
        <f t="shared" si="1"/>
        <v>2022.1064508186032</v>
      </c>
      <c r="S26" s="53">
        <f t="shared" si="2"/>
        <v>11149.836966760293</v>
      </c>
      <c r="T26" s="54">
        <f t="shared" si="3"/>
        <v>44746</v>
      </c>
      <c r="U26" s="54">
        <f t="shared" si="4"/>
        <v>44782</v>
      </c>
    </row>
    <row r="27" spans="1:21">
      <c r="A27" t="s">
        <v>68</v>
      </c>
      <c r="B27" t="s">
        <v>69</v>
      </c>
      <c r="D27" t="s">
        <v>33</v>
      </c>
      <c r="E27" t="s">
        <v>43</v>
      </c>
      <c r="F27" s="11">
        <v>44777</v>
      </c>
      <c r="G27" s="11">
        <v>44781</v>
      </c>
      <c r="J27" s="3">
        <v>12</v>
      </c>
      <c r="K27" s="3" t="s">
        <v>201</v>
      </c>
      <c r="L27" s="7">
        <f>VLOOKUP(B27,'CUSTO ATIVIDADE'!$A$1:$B$30,2,0)</f>
        <v>111.67</v>
      </c>
      <c r="M27" s="10">
        <f t="shared" si="5"/>
        <v>1340.04</v>
      </c>
      <c r="N27" s="3">
        <f>VLOOKUP(F27,SEMANAS!$B$1:$C$301,2,0)</f>
        <v>37</v>
      </c>
      <c r="O27" s="3">
        <f>VLOOKUP(G27,SEMANAS!$B$1:$C$301,2,0)</f>
        <v>38</v>
      </c>
      <c r="P27" s="52">
        <f>VLOOKUP(B27,'MT-MO'!$A$3:$C$31,2,0)</f>
        <v>0.44776119402985076</v>
      </c>
      <c r="Q27" s="52">
        <f>VLOOKUP(B27,'MT-MO'!$A$3:$C$31,3,0)</f>
        <v>0.55223880597014929</v>
      </c>
      <c r="R27" s="53">
        <f t="shared" si="1"/>
        <v>600.01791044776121</v>
      </c>
      <c r="S27" s="53">
        <f t="shared" si="2"/>
        <v>740.02208955223887</v>
      </c>
      <c r="T27" s="54">
        <f t="shared" si="3"/>
        <v>44762</v>
      </c>
      <c r="U27" s="54">
        <f t="shared" si="4"/>
        <v>44796</v>
      </c>
    </row>
    <row r="28" spans="1:21">
      <c r="A28" t="s">
        <v>70</v>
      </c>
      <c r="B28" t="s">
        <v>71</v>
      </c>
      <c r="D28" t="s">
        <v>33</v>
      </c>
      <c r="E28" t="s">
        <v>43</v>
      </c>
      <c r="F28" s="11">
        <v>44777</v>
      </c>
      <c r="G28" s="11">
        <v>44781</v>
      </c>
      <c r="J28" s="9">
        <v>4</v>
      </c>
      <c r="K28" s="3" t="s">
        <v>202</v>
      </c>
      <c r="L28" s="7">
        <f>VLOOKUP(B28,'CUSTO ATIVIDADE'!$A$1:$B$30,2,0)</f>
        <v>513.50426281564182</v>
      </c>
      <c r="M28" s="10">
        <f t="shared" si="5"/>
        <v>2054.0170512625673</v>
      </c>
      <c r="N28" s="3">
        <f>VLOOKUP(F28,SEMANAS!$B$1:$C$301,2,0)</f>
        <v>37</v>
      </c>
      <c r="O28" s="3">
        <f>VLOOKUP(G28,SEMANAS!$B$1:$C$301,2,0)</f>
        <v>38</v>
      </c>
      <c r="P28" s="52">
        <f>VLOOKUP(B28,'MT-MO'!$A$3:$C$32,2,0)</f>
        <v>0.45</v>
      </c>
      <c r="Q28" s="52">
        <f>VLOOKUP(B28,'MT-MO'!$A$3:$C$32,3,0)</f>
        <v>0.55000000000000004</v>
      </c>
      <c r="R28" s="53">
        <f t="shared" si="1"/>
        <v>924.30767306815528</v>
      </c>
      <c r="S28" s="53">
        <f t="shared" si="2"/>
        <v>1129.709378194412</v>
      </c>
      <c r="T28" s="54">
        <f t="shared" si="3"/>
        <v>44762</v>
      </c>
      <c r="U28" s="54">
        <f t="shared" si="4"/>
        <v>44796</v>
      </c>
    </row>
    <row r="29" spans="1:21">
      <c r="A29" t="s">
        <v>72</v>
      </c>
      <c r="B29" t="s">
        <v>73</v>
      </c>
      <c r="D29" t="s">
        <v>33</v>
      </c>
      <c r="E29" t="s">
        <v>18</v>
      </c>
      <c r="F29" s="11">
        <v>44782</v>
      </c>
      <c r="G29" s="11">
        <v>44788</v>
      </c>
      <c r="J29" s="3">
        <v>614.55999999999995</v>
      </c>
      <c r="K29" s="3" t="s">
        <v>197</v>
      </c>
      <c r="L29" s="7">
        <f>VLOOKUP(B29,'CUSTO ATIVIDADE'!$A$1:$B$30,2,0)</f>
        <v>6</v>
      </c>
      <c r="M29" s="10">
        <f t="shared" si="5"/>
        <v>3687.3599999999997</v>
      </c>
      <c r="N29" s="3">
        <f>VLOOKUP(F29,SEMANAS!$B$1:$C$301,2,0)</f>
        <v>38</v>
      </c>
      <c r="O29" s="3">
        <f>VLOOKUP(G29,SEMANAS!$B$1:$C$301,2,0)</f>
        <v>39</v>
      </c>
      <c r="P29" s="52">
        <f>VLOOKUP(B29,'MT-MO'!$A$3:$C$31,2,0)</f>
        <v>1</v>
      </c>
      <c r="Q29" s="52">
        <f>VLOOKUP(B29,'MT-MO'!$A$3:$C$31,3,0)</f>
        <v>0</v>
      </c>
      <c r="R29" s="53">
        <f t="shared" si="1"/>
        <v>3687.3599999999997</v>
      </c>
      <c r="S29" s="53">
        <f t="shared" si="2"/>
        <v>0</v>
      </c>
      <c r="T29" s="54">
        <f t="shared" si="3"/>
        <v>44767</v>
      </c>
      <c r="U29" s="54">
        <f t="shared" si="4"/>
        <v>44803</v>
      </c>
    </row>
    <row r="30" spans="1:21">
      <c r="A30" t="s">
        <v>74</v>
      </c>
      <c r="B30" t="s">
        <v>75</v>
      </c>
      <c r="D30" t="s">
        <v>33</v>
      </c>
      <c r="E30" t="s">
        <v>43</v>
      </c>
      <c r="F30" s="11">
        <v>44789</v>
      </c>
      <c r="G30" s="11">
        <v>44791</v>
      </c>
      <c r="J30" s="3">
        <v>0.25</v>
      </c>
      <c r="K30" s="3" t="s">
        <v>199</v>
      </c>
      <c r="L30" s="7">
        <f>VLOOKUP(B30,'CUSTO ATIVIDADE'!$A$1:$B$30,2,0)</f>
        <v>2000</v>
      </c>
      <c r="M30" s="10">
        <f t="shared" si="5"/>
        <v>500</v>
      </c>
      <c r="N30" s="3">
        <f>VLOOKUP(F30,SEMANAS!$B$1:$C$301,2,0)</f>
        <v>39</v>
      </c>
      <c r="O30" s="3">
        <f>VLOOKUP(G30,SEMANAS!$B$1:$C$301,2,0)</f>
        <v>39</v>
      </c>
      <c r="P30" s="52">
        <f>VLOOKUP(B30,'MT-MO'!$A$3:$C$31,2,0)</f>
        <v>1</v>
      </c>
      <c r="Q30" s="52">
        <f>VLOOKUP(B30,'MT-MO'!$A$3:$C$31,3,0)</f>
        <v>0</v>
      </c>
      <c r="R30" s="53">
        <f t="shared" si="1"/>
        <v>500</v>
      </c>
      <c r="S30" s="53">
        <f t="shared" si="2"/>
        <v>0</v>
      </c>
      <c r="T30" s="54">
        <f t="shared" si="3"/>
        <v>44774</v>
      </c>
      <c r="U30" s="54">
        <f t="shared" si="4"/>
        <v>44806</v>
      </c>
    </row>
    <row r="31" spans="1:21">
      <c r="A31" t="s">
        <v>76</v>
      </c>
      <c r="B31" t="s">
        <v>77</v>
      </c>
      <c r="E31" t="s">
        <v>78</v>
      </c>
      <c r="F31" s="11">
        <v>44579</v>
      </c>
      <c r="G31" s="11">
        <v>44798</v>
      </c>
      <c r="J31" s="3"/>
      <c r="N31" s="3">
        <f>VLOOKUP(F31,SEMANAS!$B$1:$C$301,2,0)</f>
        <v>9</v>
      </c>
      <c r="O31" s="3">
        <f>VLOOKUP(G31,SEMANAS!$B$1:$C$301,2,0)</f>
        <v>40</v>
      </c>
      <c r="R31" s="53">
        <f t="shared" si="1"/>
        <v>0</v>
      </c>
      <c r="S31" s="53">
        <f t="shared" si="2"/>
        <v>0</v>
      </c>
      <c r="T31" s="54">
        <f t="shared" si="3"/>
        <v>44564</v>
      </c>
      <c r="U31" s="54">
        <f t="shared" si="4"/>
        <v>44813</v>
      </c>
    </row>
    <row r="32" spans="1:21">
      <c r="A32" t="s">
        <v>79</v>
      </c>
      <c r="B32" t="s">
        <v>32</v>
      </c>
      <c r="D32" t="s">
        <v>33</v>
      </c>
      <c r="E32" t="s">
        <v>18</v>
      </c>
      <c r="F32" s="11">
        <v>44579</v>
      </c>
      <c r="G32" s="11">
        <v>44585</v>
      </c>
      <c r="J32" s="3">
        <v>390.7</v>
      </c>
      <c r="K32" s="3" t="s">
        <v>197</v>
      </c>
      <c r="L32" s="7">
        <f>VLOOKUP(B32,'CUSTO ATIVIDADE'!$A$1:$B$30,2,0)</f>
        <v>247.89395397660905</v>
      </c>
      <c r="M32" s="10">
        <f t="shared" ref="M32:M52" si="6">L32*J32</f>
        <v>96852.167818661153</v>
      </c>
      <c r="N32" s="3">
        <f>VLOOKUP(F32,SEMANAS!$B$1:$C$301,2,0)</f>
        <v>9</v>
      </c>
      <c r="O32" s="3">
        <f>VLOOKUP(G32,SEMANAS!$B$1:$C$301,2,0)</f>
        <v>10</v>
      </c>
      <c r="P32" s="52">
        <f>VLOOKUP(B32,'MT-MO'!$A$3:$C$31,2,0)</f>
        <v>0.13858702989570013</v>
      </c>
      <c r="Q32" s="52">
        <f>VLOOKUP(B32,'MT-MO'!$A$3:$C$31,3,0)</f>
        <v>0.86141297010429985</v>
      </c>
      <c r="R32" s="53">
        <f t="shared" si="1"/>
        <v>13422.45427694816</v>
      </c>
      <c r="S32" s="53">
        <f t="shared" si="2"/>
        <v>83429.71354171299</v>
      </c>
      <c r="T32" s="54">
        <f t="shared" si="3"/>
        <v>44564</v>
      </c>
      <c r="U32" s="54">
        <f t="shared" si="4"/>
        <v>44600</v>
      </c>
    </row>
    <row r="33" spans="1:21">
      <c r="A33" t="s">
        <v>80</v>
      </c>
      <c r="B33" t="s">
        <v>35</v>
      </c>
      <c r="C33" t="s">
        <v>36</v>
      </c>
      <c r="D33" t="s">
        <v>33</v>
      </c>
      <c r="E33" t="s">
        <v>18</v>
      </c>
      <c r="F33" s="11">
        <v>44586</v>
      </c>
      <c r="G33" s="11">
        <v>44592</v>
      </c>
      <c r="J33" s="3">
        <v>25.44</v>
      </c>
      <c r="K33" s="3" t="s">
        <v>198</v>
      </c>
      <c r="L33" s="7">
        <f>VLOOKUP(B33,'CUSTO ATIVIDADE'!$A$1:$B$30,2,0)</f>
        <v>2550.8020330415566</v>
      </c>
      <c r="M33" s="10">
        <f t="shared" si="6"/>
        <v>64892.403720577204</v>
      </c>
      <c r="N33" s="3">
        <f>VLOOKUP(F33,SEMANAS!$B$1:$C$301,2,0)</f>
        <v>10</v>
      </c>
      <c r="O33" s="3">
        <f>VLOOKUP(G33,SEMANAS!$B$1:$C$301,2,0)</f>
        <v>11</v>
      </c>
      <c r="P33" s="52">
        <f>VLOOKUP(B33,'MT-MO'!$A$3:$C$31,2,0)</f>
        <v>0.38396280966583479</v>
      </c>
      <c r="Q33" s="52">
        <f>VLOOKUP(B33,'MT-MO'!$A$3:$C$31,3,0)</f>
        <v>0.61603719033416515</v>
      </c>
      <c r="R33" s="53">
        <f t="shared" si="1"/>
        <v>24916.269658522495</v>
      </c>
      <c r="S33" s="53">
        <f t="shared" si="2"/>
        <v>39976.134062054705</v>
      </c>
      <c r="T33" s="54">
        <f t="shared" si="3"/>
        <v>44571</v>
      </c>
      <c r="U33" s="54">
        <f t="shared" si="4"/>
        <v>44607</v>
      </c>
    </row>
    <row r="34" spans="1:21">
      <c r="A34" t="s">
        <v>81</v>
      </c>
      <c r="B34" t="s">
        <v>38</v>
      </c>
      <c r="D34" t="s">
        <v>33</v>
      </c>
      <c r="E34" t="s">
        <v>18</v>
      </c>
      <c r="F34" s="11">
        <v>44614</v>
      </c>
      <c r="G34" s="11">
        <v>44620</v>
      </c>
      <c r="J34" s="3">
        <v>1</v>
      </c>
      <c r="K34" s="3" t="s">
        <v>200</v>
      </c>
      <c r="L34" s="7">
        <f>VLOOKUP(B34,'CUSTO ATIVIDADE'!$A$1:$B$30,2,0)</f>
        <v>13455.889210118192</v>
      </c>
      <c r="M34" s="10">
        <f t="shared" si="6"/>
        <v>13455.889210118192</v>
      </c>
      <c r="N34" s="3">
        <f>VLOOKUP(F34,SEMANAS!$B$1:$C$301,2,0)</f>
        <v>14</v>
      </c>
      <c r="O34" s="3">
        <f>VLOOKUP(G34,SEMANAS!$B$1:$C$301,2,0)</f>
        <v>15</v>
      </c>
      <c r="P34" s="52">
        <f>VLOOKUP(B34,'MT-MO'!$A$3:$C$31,2,0)</f>
        <v>0.35672482024413354</v>
      </c>
      <c r="Q34" s="52">
        <f>VLOOKUP(B34,'MT-MO'!$A$3:$C$31,3,0)</f>
        <v>0.64327517975586646</v>
      </c>
      <c r="R34" s="53">
        <f t="shared" si="1"/>
        <v>4800.0496597043884</v>
      </c>
      <c r="S34" s="53">
        <f t="shared" si="2"/>
        <v>8655.8395504138043</v>
      </c>
      <c r="T34" s="54">
        <f t="shared" si="3"/>
        <v>44599</v>
      </c>
      <c r="U34" s="54">
        <f t="shared" si="4"/>
        <v>44635</v>
      </c>
    </row>
    <row r="35" spans="1:21">
      <c r="A35" t="s">
        <v>82</v>
      </c>
      <c r="B35" t="s">
        <v>40</v>
      </c>
      <c r="D35" t="s">
        <v>33</v>
      </c>
      <c r="E35" t="s">
        <v>18</v>
      </c>
      <c r="F35" s="11">
        <v>44628</v>
      </c>
      <c r="G35" s="11">
        <v>44634</v>
      </c>
      <c r="J35" s="3">
        <v>140.59</v>
      </c>
      <c r="K35" s="3" t="s">
        <v>197</v>
      </c>
      <c r="L35" s="7">
        <f>VLOOKUP(B35,'CUSTO ATIVIDADE'!$A$1:$B$30,2,0)</f>
        <v>7</v>
      </c>
      <c r="M35" s="10">
        <f t="shared" si="6"/>
        <v>984.13</v>
      </c>
      <c r="N35" s="3">
        <f>VLOOKUP(F35,SEMANAS!$B$1:$C$301,2,0)</f>
        <v>16</v>
      </c>
      <c r="O35" s="3">
        <f>VLOOKUP(G35,SEMANAS!$B$1:$C$301,2,0)</f>
        <v>17</v>
      </c>
      <c r="P35" s="52">
        <f>VLOOKUP(B35,'MT-MO'!$A$3:$C$31,2,0)</f>
        <v>0.26486813778256191</v>
      </c>
      <c r="Q35" s="52">
        <f>VLOOKUP(B35,'MT-MO'!$A$3:$C$31,3,0)</f>
        <v>0.73513186221743809</v>
      </c>
      <c r="R35" s="53">
        <f t="shared" si="1"/>
        <v>260.66468043595268</v>
      </c>
      <c r="S35" s="53">
        <f t="shared" si="2"/>
        <v>723.46531956404738</v>
      </c>
      <c r="T35" s="54">
        <f t="shared" si="3"/>
        <v>44613</v>
      </c>
      <c r="U35" s="54">
        <f t="shared" si="4"/>
        <v>44649</v>
      </c>
    </row>
    <row r="36" spans="1:21">
      <c r="A36" t="s">
        <v>83</v>
      </c>
      <c r="B36" t="s">
        <v>42</v>
      </c>
      <c r="D36" t="s">
        <v>33</v>
      </c>
      <c r="E36" t="s">
        <v>43</v>
      </c>
      <c r="F36" s="11">
        <v>44651</v>
      </c>
      <c r="G36" s="11">
        <v>44655</v>
      </c>
      <c r="J36" s="3">
        <v>10.69</v>
      </c>
      <c r="K36" s="3" t="s">
        <v>197</v>
      </c>
      <c r="L36" s="7">
        <f>VLOOKUP(B36,'CUSTO ATIVIDADE'!$A$1:$B$30,2,0)</f>
        <v>295.46807160325829</v>
      </c>
      <c r="M36" s="10">
        <f t="shared" si="6"/>
        <v>3158.5536854388311</v>
      </c>
      <c r="N36" s="3">
        <f>VLOOKUP(F36,SEMANAS!$B$1:$C$301,2,0)</f>
        <v>19</v>
      </c>
      <c r="O36" s="3">
        <f>VLOOKUP(G36,SEMANAS!$B$1:$C$301,2,0)</f>
        <v>20</v>
      </c>
      <c r="P36" s="52">
        <f>VLOOKUP(B36,'MT-MO'!$A$3:$C$31,2,0)</f>
        <v>0.62478082992402106</v>
      </c>
      <c r="Q36" s="52">
        <f>VLOOKUP(B36,'MT-MO'!$A$3:$C$31,3,0)</f>
        <v>0.37521917007597894</v>
      </c>
      <c r="R36" s="53">
        <f t="shared" si="1"/>
        <v>1973.4037929480482</v>
      </c>
      <c r="S36" s="53">
        <f t="shared" si="2"/>
        <v>1185.1498924907828</v>
      </c>
      <c r="T36" s="54">
        <f t="shared" si="3"/>
        <v>44636</v>
      </c>
      <c r="U36" s="54">
        <f t="shared" si="4"/>
        <v>44670</v>
      </c>
    </row>
    <row r="37" spans="1:21">
      <c r="A37" t="s">
        <v>84</v>
      </c>
      <c r="B37" t="s">
        <v>45</v>
      </c>
      <c r="D37" t="s">
        <v>33</v>
      </c>
      <c r="E37" t="s">
        <v>18</v>
      </c>
      <c r="F37" s="11">
        <v>44658</v>
      </c>
      <c r="G37" s="11">
        <v>44665</v>
      </c>
      <c r="J37" s="3">
        <v>6.08</v>
      </c>
      <c r="K37" s="3" t="s">
        <v>197</v>
      </c>
      <c r="L37" s="7">
        <f>VLOOKUP(B37,'CUSTO ATIVIDADE'!$A$1:$B$30,2,0)</f>
        <v>39.299999999999997</v>
      </c>
      <c r="M37" s="10">
        <f t="shared" si="6"/>
        <v>238.94399999999999</v>
      </c>
      <c r="N37" s="3">
        <f>VLOOKUP(F37,SEMANAS!$B$1:$C$301,2,0)</f>
        <v>20</v>
      </c>
      <c r="O37" s="3">
        <f>VLOOKUP(G37,SEMANAS!$B$1:$C$301,2,0)</f>
        <v>21</v>
      </c>
      <c r="P37" s="52">
        <f>VLOOKUP(B37,'MT-MO'!$A$3:$C$31,2,0)</f>
        <v>0.45815899581589958</v>
      </c>
      <c r="Q37" s="52">
        <f>VLOOKUP(B37,'MT-MO'!$A$3:$C$31,3,0)</f>
        <v>0.54184100418410042</v>
      </c>
      <c r="R37" s="53">
        <f t="shared" si="1"/>
        <v>109.47434309623431</v>
      </c>
      <c r="S37" s="53">
        <f t="shared" si="2"/>
        <v>129.4696569037657</v>
      </c>
      <c r="T37" s="54">
        <f t="shared" si="3"/>
        <v>44643</v>
      </c>
      <c r="U37" s="54">
        <f t="shared" si="4"/>
        <v>44680</v>
      </c>
    </row>
    <row r="38" spans="1:21">
      <c r="A38" t="s">
        <v>85</v>
      </c>
      <c r="B38" t="s">
        <v>47</v>
      </c>
      <c r="D38" t="s">
        <v>33</v>
      </c>
      <c r="E38" t="s">
        <v>18</v>
      </c>
      <c r="F38" s="11">
        <v>44672</v>
      </c>
      <c r="G38" s="11">
        <v>44679</v>
      </c>
      <c r="J38" s="3">
        <v>86.26</v>
      </c>
      <c r="K38" s="3" t="s">
        <v>197</v>
      </c>
      <c r="L38" s="7">
        <f>VLOOKUP(B38,'CUSTO ATIVIDADE'!$A$1:$B$30,2,0)</f>
        <v>236.90944856477213</v>
      </c>
      <c r="M38" s="10">
        <f t="shared" si="6"/>
        <v>20435.809033197245</v>
      </c>
      <c r="N38" s="3">
        <f>VLOOKUP(F38,SEMANAS!$B$1:$C$301,2,0)</f>
        <v>22</v>
      </c>
      <c r="O38" s="3">
        <f>VLOOKUP(G38,SEMANAS!$B$1:$C$301,2,0)</f>
        <v>23</v>
      </c>
      <c r="P38" s="52">
        <f>VLOOKUP(B38,'MT-MO'!$A$3:$C$31,2,0)</f>
        <v>0.57761004134961225</v>
      </c>
      <c r="Q38" s="52">
        <f>VLOOKUP(B38,'MT-MO'!$A$3:$C$31,3,0)</f>
        <v>0.42238995865038781</v>
      </c>
      <c r="R38" s="53">
        <f t="shared" si="1"/>
        <v>11803.928500677841</v>
      </c>
      <c r="S38" s="53">
        <f t="shared" si="2"/>
        <v>8631.8805325194062</v>
      </c>
      <c r="T38" s="54">
        <f t="shared" si="3"/>
        <v>44657</v>
      </c>
      <c r="U38" s="54">
        <f t="shared" si="4"/>
        <v>44694</v>
      </c>
    </row>
    <row r="39" spans="1:21">
      <c r="A39" t="s">
        <v>86</v>
      </c>
      <c r="B39" t="s">
        <v>49</v>
      </c>
      <c r="D39" t="s">
        <v>33</v>
      </c>
      <c r="E39" t="s">
        <v>18</v>
      </c>
      <c r="F39" s="11">
        <v>44686</v>
      </c>
      <c r="G39" s="11">
        <v>44693</v>
      </c>
      <c r="J39" s="3">
        <v>447.45</v>
      </c>
      <c r="K39" s="3" t="s">
        <v>197</v>
      </c>
      <c r="L39" s="7">
        <f>VLOOKUP(B39,'CUSTO ATIVIDADE'!$A$1:$B$30,2,0)</f>
        <v>15.222400000000006</v>
      </c>
      <c r="M39" s="10">
        <f t="shared" si="6"/>
        <v>6811.262880000002</v>
      </c>
      <c r="N39" s="3">
        <f>VLOOKUP(F39,SEMANAS!$B$1:$C$301,2,0)</f>
        <v>24</v>
      </c>
      <c r="O39" s="3">
        <f>VLOOKUP(G39,SEMANAS!$B$1:$C$301,2,0)</f>
        <v>25</v>
      </c>
      <c r="P39" s="52">
        <f>VLOOKUP(B39,'MT-MO'!$A$3:$C$31,2,0)</f>
        <v>0.45986419526518629</v>
      </c>
      <c r="Q39" s="52">
        <f>VLOOKUP(B39,'MT-MO'!$A$3:$C$31,3,0)</f>
        <v>0.54013580473481371</v>
      </c>
      <c r="R39" s="53">
        <f t="shared" si="1"/>
        <v>3132.2559230508359</v>
      </c>
      <c r="S39" s="53">
        <f t="shared" si="2"/>
        <v>3679.0069569491661</v>
      </c>
      <c r="T39" s="54">
        <f t="shared" si="3"/>
        <v>44671</v>
      </c>
      <c r="U39" s="54">
        <f t="shared" si="4"/>
        <v>44708</v>
      </c>
    </row>
    <row r="40" spans="1:21">
      <c r="A40" t="s">
        <v>87</v>
      </c>
      <c r="B40" t="s">
        <v>51</v>
      </c>
      <c r="D40" t="s">
        <v>33</v>
      </c>
      <c r="E40" t="s">
        <v>18</v>
      </c>
      <c r="F40" s="11">
        <v>44707</v>
      </c>
      <c r="G40" s="11">
        <v>44714</v>
      </c>
      <c r="J40" s="3">
        <v>21</v>
      </c>
      <c r="K40" s="3" t="s">
        <v>201</v>
      </c>
      <c r="L40" s="7">
        <f>VLOOKUP(B40,'CUSTO ATIVIDADE'!$A$1:$B$30,2,0)</f>
        <v>1261.9047619047619</v>
      </c>
      <c r="M40" s="10">
        <f t="shared" si="6"/>
        <v>26500</v>
      </c>
      <c r="N40" s="3">
        <f>VLOOKUP(F40,SEMANAS!$B$1:$C$301,2,0)</f>
        <v>27</v>
      </c>
      <c r="O40" s="3">
        <f>VLOOKUP(G40,SEMANAS!$B$1:$C$301,2,0)</f>
        <v>28</v>
      </c>
      <c r="P40" s="52">
        <f>VLOOKUP(B40,'MT-MO'!$A$3:$C$31,2,0)</f>
        <v>0.19811320754716982</v>
      </c>
      <c r="Q40" s="52">
        <f>VLOOKUP(B40,'MT-MO'!$A$3:$C$31,3,0)</f>
        <v>0.80188679245283023</v>
      </c>
      <c r="R40" s="53">
        <f t="shared" si="1"/>
        <v>5250</v>
      </c>
      <c r="S40" s="53">
        <f t="shared" si="2"/>
        <v>21250</v>
      </c>
      <c r="T40" s="54">
        <f t="shared" si="3"/>
        <v>44692</v>
      </c>
      <c r="U40" s="54">
        <f t="shared" si="4"/>
        <v>44729</v>
      </c>
    </row>
    <row r="41" spans="1:21">
      <c r="A41" t="s">
        <v>88</v>
      </c>
      <c r="B41" t="s">
        <v>53</v>
      </c>
      <c r="D41" t="s">
        <v>33</v>
      </c>
      <c r="E41" t="s">
        <v>18</v>
      </c>
      <c r="F41" s="11">
        <v>44714</v>
      </c>
      <c r="G41" s="11">
        <v>44721</v>
      </c>
      <c r="J41" s="3">
        <v>4</v>
      </c>
      <c r="K41" s="3" t="s">
        <v>202</v>
      </c>
      <c r="L41" s="7">
        <f>VLOOKUP(B41,'CUSTO ATIVIDADE'!$A$1:$B$30,2,0)</f>
        <v>1283.6297966501836</v>
      </c>
      <c r="M41" s="10">
        <f t="shared" si="6"/>
        <v>5134.5191866007344</v>
      </c>
      <c r="N41" s="3">
        <f>VLOOKUP(F41,SEMANAS!$B$1:$C$301,2,0)</f>
        <v>28</v>
      </c>
      <c r="O41" s="3">
        <f>VLOOKUP(G41,SEMANAS!$B$1:$C$301,2,0)</f>
        <v>29</v>
      </c>
      <c r="P41" s="52">
        <f>VLOOKUP(B41,'MT-MO'!$A$3:$C$31,2,0)</f>
        <v>0.62323497906319991</v>
      </c>
      <c r="Q41" s="52">
        <f>VLOOKUP(B41,'MT-MO'!$A$3:$C$31,3,0)</f>
        <v>0.37676502093680009</v>
      </c>
      <c r="R41" s="53">
        <f t="shared" si="1"/>
        <v>3200.011957760707</v>
      </c>
      <c r="S41" s="53">
        <f t="shared" si="2"/>
        <v>1934.5072288400274</v>
      </c>
      <c r="T41" s="54">
        <f t="shared" si="3"/>
        <v>44699</v>
      </c>
      <c r="U41" s="54">
        <f t="shared" si="4"/>
        <v>44736</v>
      </c>
    </row>
    <row r="42" spans="1:21">
      <c r="A42" t="s">
        <v>89</v>
      </c>
      <c r="B42" t="s">
        <v>55</v>
      </c>
      <c r="D42" t="s">
        <v>33</v>
      </c>
      <c r="E42" t="s">
        <v>18</v>
      </c>
      <c r="F42" s="11">
        <v>44728</v>
      </c>
      <c r="G42" s="11">
        <v>44735</v>
      </c>
      <c r="J42" s="3">
        <v>29.29</v>
      </c>
      <c r="K42" s="3" t="s">
        <v>197</v>
      </c>
      <c r="L42" s="7">
        <f>VLOOKUP(B42,'CUSTO ATIVIDADE'!$A$1:$B$30,2,0)</f>
        <v>78.445334999999986</v>
      </c>
      <c r="M42" s="10">
        <f t="shared" si="6"/>
        <v>2297.6638621499997</v>
      </c>
      <c r="N42" s="3">
        <f>VLOOKUP(F42,SEMANAS!$B$1:$C$301,2,0)</f>
        <v>30</v>
      </c>
      <c r="O42" s="3">
        <f>VLOOKUP(G42,SEMANAS!$B$1:$C$301,2,0)</f>
        <v>31</v>
      </c>
      <c r="P42" s="52">
        <f>VLOOKUP(B42,'MT-MO'!$A$3:$C$31,2,0)</f>
        <v>0.31868131868131866</v>
      </c>
      <c r="Q42" s="52">
        <f>VLOOKUP(B42,'MT-MO'!$A$3:$C$31,3,0)</f>
        <v>0.68131868131868134</v>
      </c>
      <c r="R42" s="53">
        <f t="shared" si="1"/>
        <v>732.2225494763735</v>
      </c>
      <c r="S42" s="53">
        <f t="shared" si="2"/>
        <v>1565.4413126736263</v>
      </c>
      <c r="T42" s="54">
        <f t="shared" si="3"/>
        <v>44713</v>
      </c>
      <c r="U42" s="54">
        <f t="shared" si="4"/>
        <v>44750</v>
      </c>
    </row>
    <row r="43" spans="1:21">
      <c r="A43" t="s">
        <v>90</v>
      </c>
      <c r="B43" t="s">
        <v>57</v>
      </c>
      <c r="D43" t="s">
        <v>33</v>
      </c>
      <c r="E43" t="s">
        <v>43</v>
      </c>
      <c r="F43" s="11">
        <v>44735</v>
      </c>
      <c r="G43" s="11">
        <v>44739</v>
      </c>
      <c r="J43" s="3">
        <v>4</v>
      </c>
      <c r="K43" s="3" t="s">
        <v>202</v>
      </c>
      <c r="L43" s="7">
        <f>VLOOKUP(B43,'CUSTO ATIVIDADE'!$A$1:$B$30,2,0)</f>
        <v>350</v>
      </c>
      <c r="M43" s="10">
        <f t="shared" si="6"/>
        <v>1400</v>
      </c>
      <c r="N43" s="3">
        <f>VLOOKUP(F43,SEMANAS!$B$1:$C$301,2,0)</f>
        <v>31</v>
      </c>
      <c r="O43" s="3">
        <f>VLOOKUP(G43,SEMANAS!$B$1:$C$301,2,0)</f>
        <v>32</v>
      </c>
      <c r="P43" s="52">
        <f>VLOOKUP(B43,'MT-MO'!$A$3:$C$31,2,0)</f>
        <v>1</v>
      </c>
      <c r="Q43" s="52">
        <f>VLOOKUP(B43,'MT-MO'!$A$3:$C$31,3,0)</f>
        <v>0</v>
      </c>
      <c r="R43" s="53">
        <f t="shared" si="1"/>
        <v>1400</v>
      </c>
      <c r="S43" s="53">
        <f t="shared" si="2"/>
        <v>0</v>
      </c>
      <c r="T43" s="54">
        <f t="shared" si="3"/>
        <v>44720</v>
      </c>
      <c r="U43" s="54">
        <f t="shared" si="4"/>
        <v>44754</v>
      </c>
    </row>
    <row r="44" spans="1:21">
      <c r="A44" t="s">
        <v>91</v>
      </c>
      <c r="B44" t="s">
        <v>59</v>
      </c>
      <c r="C44" t="s">
        <v>36</v>
      </c>
      <c r="D44" t="s">
        <v>33</v>
      </c>
      <c r="E44" t="s">
        <v>18</v>
      </c>
      <c r="F44" s="11">
        <v>44735</v>
      </c>
      <c r="G44" s="11">
        <v>44742</v>
      </c>
      <c r="J44" s="3">
        <v>22.5</v>
      </c>
      <c r="K44" s="3" t="s">
        <v>197</v>
      </c>
      <c r="L44" s="7">
        <f>VLOOKUP(B44,'CUSTO ATIVIDADE'!$A$1:$B$30,2,0)</f>
        <v>160.77478755454416</v>
      </c>
      <c r="M44" s="10">
        <f t="shared" si="6"/>
        <v>3617.4327199772438</v>
      </c>
      <c r="N44" s="3">
        <f>VLOOKUP(F44,SEMANAS!$B$1:$C$301,2,0)</f>
        <v>31</v>
      </c>
      <c r="O44" s="3">
        <f>VLOOKUP(G44,SEMANAS!$B$1:$C$301,2,0)</f>
        <v>32</v>
      </c>
      <c r="P44" s="52">
        <f>VLOOKUP(B44,'MT-MO'!$A$3:$C$31,2,0)</f>
        <v>0.28742225293711127</v>
      </c>
      <c r="Q44" s="52">
        <f>VLOOKUP(B44,'MT-MO'!$A$3:$C$31,3,0)</f>
        <v>0.71257774706288879</v>
      </c>
      <c r="R44" s="53">
        <f t="shared" si="1"/>
        <v>1039.7306622242818</v>
      </c>
      <c r="S44" s="53">
        <f t="shared" si="2"/>
        <v>2577.7020577529624</v>
      </c>
      <c r="T44" s="54">
        <f t="shared" si="3"/>
        <v>44720</v>
      </c>
      <c r="U44" s="54">
        <f t="shared" si="4"/>
        <v>44757</v>
      </c>
    </row>
    <row r="45" spans="1:21">
      <c r="A45" t="s">
        <v>92</v>
      </c>
      <c r="B45" t="s">
        <v>61</v>
      </c>
      <c r="D45" t="s">
        <v>33</v>
      </c>
      <c r="E45" t="s">
        <v>18</v>
      </c>
      <c r="F45" s="11">
        <v>44742</v>
      </c>
      <c r="G45" s="11">
        <v>44749</v>
      </c>
      <c r="J45" s="3">
        <v>476.74</v>
      </c>
      <c r="K45" s="3" t="s">
        <v>197</v>
      </c>
      <c r="L45" s="7">
        <f>VLOOKUP(B45,'CUSTO ATIVIDADE'!$A$1:$B$30,2,0)</f>
        <v>31.043507801912533</v>
      </c>
      <c r="M45" s="10">
        <f t="shared" si="6"/>
        <v>14799.681909483781</v>
      </c>
      <c r="N45" s="3">
        <f>VLOOKUP(F45,SEMANAS!$B$1:$C$301,2,0)</f>
        <v>32</v>
      </c>
      <c r="O45" s="3">
        <f>VLOOKUP(G45,SEMANAS!$B$1:$C$301,2,0)</f>
        <v>33</v>
      </c>
      <c r="P45" s="52">
        <f>VLOOKUP(B45,'MT-MO'!$A$3:$C$31,2,0)</f>
        <v>0.52623399439170238</v>
      </c>
      <c r="Q45" s="52">
        <f>VLOOKUP(B45,'MT-MO'!$A$3:$C$31,3,0)</f>
        <v>0.47376600560829757</v>
      </c>
      <c r="R45" s="53">
        <f t="shared" si="1"/>
        <v>7788.0957269542669</v>
      </c>
      <c r="S45" s="53">
        <f t="shared" si="2"/>
        <v>7011.5861825295133</v>
      </c>
      <c r="T45" s="54">
        <f t="shared" si="3"/>
        <v>44727</v>
      </c>
      <c r="U45" s="54">
        <f t="shared" si="4"/>
        <v>44764</v>
      </c>
    </row>
    <row r="46" spans="1:21">
      <c r="A46" t="s">
        <v>93</v>
      </c>
      <c r="B46" t="s">
        <v>63</v>
      </c>
      <c r="C46" t="s">
        <v>36</v>
      </c>
      <c r="D46" t="s">
        <v>33</v>
      </c>
      <c r="E46" t="s">
        <v>43</v>
      </c>
      <c r="F46" s="11">
        <v>44756</v>
      </c>
      <c r="G46" s="11">
        <v>44760</v>
      </c>
      <c r="J46" s="3">
        <v>16</v>
      </c>
      <c r="K46" s="3" t="s">
        <v>201</v>
      </c>
      <c r="L46" s="7">
        <f>VLOOKUP(B46,'CUSTO ATIVIDADE'!$A$1:$B$30,2,0)</f>
        <v>327.25146699999999</v>
      </c>
      <c r="M46" s="10">
        <f t="shared" si="6"/>
        <v>5236.0234719999999</v>
      </c>
      <c r="N46" s="3">
        <f>VLOOKUP(F46,SEMANAS!$B$1:$C$301,2,0)</f>
        <v>34</v>
      </c>
      <c r="O46" s="3">
        <f>VLOOKUP(G46,SEMANAS!$B$1:$C$301,2,0)</f>
        <v>35</v>
      </c>
      <c r="P46" s="52">
        <f>VLOOKUP(B46,'MT-MO'!$A$3:$C$31,2,0)</f>
        <v>0.15279568352194051</v>
      </c>
      <c r="Q46" s="52">
        <f>VLOOKUP(B46,'MT-MO'!$A$3:$C$31,3,0)</f>
        <v>0.84720431647805949</v>
      </c>
      <c r="R46" s="53">
        <f t="shared" si="1"/>
        <v>800.04178534116409</v>
      </c>
      <c r="S46" s="53">
        <f t="shared" si="2"/>
        <v>4435.9816866588353</v>
      </c>
      <c r="T46" s="54">
        <f t="shared" si="3"/>
        <v>44741</v>
      </c>
      <c r="U46" s="54">
        <f t="shared" si="4"/>
        <v>44775</v>
      </c>
    </row>
    <row r="47" spans="1:21">
      <c r="A47" t="s">
        <v>94</v>
      </c>
      <c r="B47" t="s">
        <v>65</v>
      </c>
      <c r="C47" t="s">
        <v>36</v>
      </c>
      <c r="D47" t="s">
        <v>33</v>
      </c>
      <c r="E47" t="s">
        <v>43</v>
      </c>
      <c r="F47" s="11">
        <v>44761</v>
      </c>
      <c r="G47" s="11">
        <v>44763</v>
      </c>
      <c r="J47" s="3">
        <v>20</v>
      </c>
      <c r="K47" s="3" t="s">
        <v>201</v>
      </c>
      <c r="L47" s="7">
        <f>VLOOKUP(B47,'CUSTO ATIVIDADE'!$A$1:$B$30,2,0)</f>
        <v>520</v>
      </c>
      <c r="M47" s="10">
        <f t="shared" si="6"/>
        <v>10400</v>
      </c>
      <c r="N47" s="3">
        <f>VLOOKUP(F47,SEMANAS!$B$1:$C$301,2,0)</f>
        <v>35</v>
      </c>
      <c r="O47" s="3">
        <f>VLOOKUP(G47,SEMANAS!$B$1:$C$301,2,0)</f>
        <v>35</v>
      </c>
      <c r="P47" s="52">
        <f>VLOOKUP(B47,'MT-MO'!$A$3:$C$31,2,0)</f>
        <v>0.15384615384615385</v>
      </c>
      <c r="Q47" s="52">
        <f>VLOOKUP(B47,'MT-MO'!$A$3:$C$31,3,0)</f>
        <v>0.84615384615384615</v>
      </c>
      <c r="R47" s="53">
        <f t="shared" si="1"/>
        <v>1600</v>
      </c>
      <c r="S47" s="53">
        <f t="shared" si="2"/>
        <v>8800</v>
      </c>
      <c r="T47" s="54">
        <f t="shared" si="3"/>
        <v>44746</v>
      </c>
      <c r="U47" s="54">
        <f t="shared" si="4"/>
        <v>44778</v>
      </c>
    </row>
    <row r="48" spans="1:21">
      <c r="A48" t="s">
        <v>95</v>
      </c>
      <c r="B48" t="s">
        <v>67</v>
      </c>
      <c r="D48" t="s">
        <v>33</v>
      </c>
      <c r="E48" t="s">
        <v>18</v>
      </c>
      <c r="F48" s="11">
        <v>44768</v>
      </c>
      <c r="G48" s="11">
        <v>44774</v>
      </c>
      <c r="J48" s="3">
        <v>80.88</v>
      </c>
      <c r="K48" s="3" t="s">
        <v>197</v>
      </c>
      <c r="L48" s="7">
        <f>VLOOKUP(B48,'CUSTO ATIVIDADE'!$A$1:$B$30,2,0)</f>
        <v>162.85785630043145</v>
      </c>
      <c r="M48" s="10">
        <f t="shared" si="6"/>
        <v>13171.943417578896</v>
      </c>
      <c r="N48" s="3">
        <f>VLOOKUP(F48,SEMANAS!$B$1:$C$301,2,0)</f>
        <v>36</v>
      </c>
      <c r="O48" s="3">
        <f>VLOOKUP(G48,SEMANAS!$B$1:$C$301,2,0)</f>
        <v>37</v>
      </c>
      <c r="P48" s="52">
        <f>VLOOKUP(B48,'MT-MO'!$A$3:$C$31,2,0)</f>
        <v>0.15351618107620765</v>
      </c>
      <c r="Q48" s="52">
        <f>VLOOKUP(B48,'MT-MO'!$A$3:$C$31,3,0)</f>
        <v>0.84648381892379232</v>
      </c>
      <c r="R48" s="53">
        <f t="shared" si="1"/>
        <v>2022.1064508186032</v>
      </c>
      <c r="S48" s="53">
        <f t="shared" si="2"/>
        <v>11149.836966760293</v>
      </c>
      <c r="T48" s="54">
        <f t="shared" si="3"/>
        <v>44753</v>
      </c>
      <c r="U48" s="54">
        <f t="shared" si="4"/>
        <v>44789</v>
      </c>
    </row>
    <row r="49" spans="1:21">
      <c r="A49" t="s">
        <v>96</v>
      </c>
      <c r="B49" t="s">
        <v>69</v>
      </c>
      <c r="D49" t="s">
        <v>33</v>
      </c>
      <c r="E49" t="s">
        <v>43</v>
      </c>
      <c r="F49" s="11">
        <v>44782</v>
      </c>
      <c r="G49" s="11">
        <v>44784</v>
      </c>
      <c r="J49" s="3">
        <v>12</v>
      </c>
      <c r="K49" s="3" t="s">
        <v>201</v>
      </c>
      <c r="L49" s="7">
        <f>VLOOKUP(B49,'CUSTO ATIVIDADE'!$A$1:$B$30,2,0)</f>
        <v>111.67</v>
      </c>
      <c r="M49" s="10">
        <f t="shared" si="6"/>
        <v>1340.04</v>
      </c>
      <c r="N49" s="3">
        <f>VLOOKUP(F49,SEMANAS!$B$1:$C$301,2,0)</f>
        <v>38</v>
      </c>
      <c r="O49" s="3">
        <f>VLOOKUP(G49,SEMANAS!$B$1:$C$301,2,0)</f>
        <v>38</v>
      </c>
      <c r="P49" s="52">
        <f>VLOOKUP(B49,'MT-MO'!$A$3:$C$31,2,0)</f>
        <v>0.44776119402985076</v>
      </c>
      <c r="Q49" s="52">
        <f>VLOOKUP(B49,'MT-MO'!$A$3:$C$31,3,0)</f>
        <v>0.55223880597014929</v>
      </c>
      <c r="R49" s="53">
        <f t="shared" si="1"/>
        <v>600.01791044776121</v>
      </c>
      <c r="S49" s="53">
        <f t="shared" si="2"/>
        <v>740.02208955223887</v>
      </c>
      <c r="T49" s="54">
        <f t="shared" si="3"/>
        <v>44767</v>
      </c>
      <c r="U49" s="54">
        <f t="shared" si="4"/>
        <v>44799</v>
      </c>
    </row>
    <row r="50" spans="1:21">
      <c r="A50" t="s">
        <v>97</v>
      </c>
      <c r="B50" t="s">
        <v>71</v>
      </c>
      <c r="D50" t="s">
        <v>33</v>
      </c>
      <c r="E50" t="s">
        <v>43</v>
      </c>
      <c r="F50" s="11">
        <v>44782</v>
      </c>
      <c r="G50" s="11">
        <v>44784</v>
      </c>
      <c r="J50" s="9">
        <v>4</v>
      </c>
      <c r="K50" s="3" t="s">
        <v>202</v>
      </c>
      <c r="L50" s="7">
        <f>VLOOKUP(B50,'CUSTO ATIVIDADE'!$A$1:$B$30,2,0)</f>
        <v>513.50426281564182</v>
      </c>
      <c r="M50" s="10">
        <f t="shared" si="6"/>
        <v>2054.0170512625673</v>
      </c>
      <c r="N50" s="3">
        <f>VLOOKUP(F50,SEMANAS!$B$1:$C$301,2,0)</f>
        <v>38</v>
      </c>
      <c r="O50" s="3">
        <f>VLOOKUP(G50,SEMANAS!$B$1:$C$301,2,0)</f>
        <v>38</v>
      </c>
      <c r="P50" s="52">
        <f>VLOOKUP(B50,'MT-MO'!$A$3:$C$32,2,0)</f>
        <v>0.45</v>
      </c>
      <c r="Q50" s="52">
        <f>VLOOKUP(B50,'MT-MO'!$A$3:$C$32,3,0)</f>
        <v>0.55000000000000004</v>
      </c>
      <c r="R50" s="53">
        <f t="shared" si="1"/>
        <v>924.30767306815528</v>
      </c>
      <c r="S50" s="53">
        <f t="shared" si="2"/>
        <v>1129.709378194412</v>
      </c>
      <c r="T50" s="54">
        <f t="shared" si="3"/>
        <v>44767</v>
      </c>
      <c r="U50" s="54">
        <f t="shared" si="4"/>
        <v>44799</v>
      </c>
    </row>
    <row r="51" spans="1:21">
      <c r="A51" t="s">
        <v>98</v>
      </c>
      <c r="B51" t="s">
        <v>73</v>
      </c>
      <c r="D51" t="s">
        <v>33</v>
      </c>
      <c r="E51" t="s">
        <v>18</v>
      </c>
      <c r="F51" s="11">
        <v>44789</v>
      </c>
      <c r="G51" s="11">
        <v>44795</v>
      </c>
      <c r="J51" s="3">
        <v>614.55999999999995</v>
      </c>
      <c r="K51" s="3" t="s">
        <v>197</v>
      </c>
      <c r="L51" s="7">
        <f>VLOOKUP(B51,'CUSTO ATIVIDADE'!$A$1:$B$30,2,0)</f>
        <v>6</v>
      </c>
      <c r="M51" s="10">
        <f t="shared" si="6"/>
        <v>3687.3599999999997</v>
      </c>
      <c r="N51" s="3">
        <f>VLOOKUP(F51,SEMANAS!$B$1:$C$301,2,0)</f>
        <v>39</v>
      </c>
      <c r="O51" s="3">
        <f>VLOOKUP(G51,SEMANAS!$B$1:$C$301,2,0)</f>
        <v>40</v>
      </c>
      <c r="P51" s="52">
        <f>VLOOKUP(B51,'MT-MO'!$A$3:$C$31,2,0)</f>
        <v>1</v>
      </c>
      <c r="Q51" s="52">
        <f>VLOOKUP(B51,'MT-MO'!$A$3:$C$31,3,0)</f>
        <v>0</v>
      </c>
      <c r="R51" s="53">
        <f t="shared" si="1"/>
        <v>3687.3599999999997</v>
      </c>
      <c r="S51" s="53">
        <f t="shared" si="2"/>
        <v>0</v>
      </c>
      <c r="T51" s="54">
        <f t="shared" si="3"/>
        <v>44774</v>
      </c>
      <c r="U51" s="54">
        <f t="shared" si="4"/>
        <v>44810</v>
      </c>
    </row>
    <row r="52" spans="1:21">
      <c r="A52" t="s">
        <v>99</v>
      </c>
      <c r="B52" t="s">
        <v>75</v>
      </c>
      <c r="D52" t="s">
        <v>33</v>
      </c>
      <c r="E52" t="s">
        <v>43</v>
      </c>
      <c r="F52" s="11">
        <v>44796</v>
      </c>
      <c r="G52" s="11">
        <v>44798</v>
      </c>
      <c r="J52" s="3">
        <v>0.25</v>
      </c>
      <c r="K52" s="3" t="s">
        <v>199</v>
      </c>
      <c r="L52" s="7">
        <f>VLOOKUP(B52,'CUSTO ATIVIDADE'!$A$1:$B$30,2,0)</f>
        <v>2000</v>
      </c>
      <c r="M52" s="10">
        <f t="shared" si="6"/>
        <v>500</v>
      </c>
      <c r="N52" s="3">
        <f>VLOOKUP(F52,SEMANAS!$B$1:$C$301,2,0)</f>
        <v>40</v>
      </c>
      <c r="O52" s="3">
        <f>VLOOKUP(G52,SEMANAS!$B$1:$C$301,2,0)</f>
        <v>40</v>
      </c>
      <c r="P52" s="52">
        <f>VLOOKUP(B52,'MT-MO'!$A$3:$C$31,2,0)</f>
        <v>1</v>
      </c>
      <c r="Q52" s="52">
        <f>VLOOKUP(B52,'MT-MO'!$A$3:$C$31,3,0)</f>
        <v>0</v>
      </c>
      <c r="R52" s="53">
        <f t="shared" si="1"/>
        <v>500</v>
      </c>
      <c r="S52" s="53">
        <f t="shared" si="2"/>
        <v>0</v>
      </c>
      <c r="T52" s="54">
        <f t="shared" si="3"/>
        <v>44781</v>
      </c>
      <c r="U52" s="54">
        <f t="shared" si="4"/>
        <v>44813</v>
      </c>
    </row>
    <row r="53" spans="1:21">
      <c r="A53" t="s">
        <v>100</v>
      </c>
      <c r="B53" t="s">
        <v>101</v>
      </c>
      <c r="E53" t="s">
        <v>102</v>
      </c>
      <c r="F53" s="11">
        <v>44593</v>
      </c>
      <c r="G53" s="11">
        <v>44805</v>
      </c>
      <c r="J53" s="3" t="s">
        <v>11</v>
      </c>
      <c r="N53" s="3">
        <f>VLOOKUP(F53,SEMANAS!$B$1:$C$301,2,0)</f>
        <v>11</v>
      </c>
      <c r="O53" s="3">
        <f>VLOOKUP(G53,SEMANAS!$B$1:$C$301,2,0)</f>
        <v>41</v>
      </c>
      <c r="R53" s="53">
        <f t="shared" si="1"/>
        <v>0</v>
      </c>
      <c r="S53" s="53">
        <f t="shared" si="2"/>
        <v>0</v>
      </c>
      <c r="T53" s="54">
        <f t="shared" si="3"/>
        <v>44578</v>
      </c>
      <c r="U53" s="54">
        <f t="shared" si="4"/>
        <v>44820</v>
      </c>
    </row>
    <row r="54" spans="1:21">
      <c r="A54" t="s">
        <v>103</v>
      </c>
      <c r="B54" t="s">
        <v>32</v>
      </c>
      <c r="D54" t="s">
        <v>33</v>
      </c>
      <c r="E54" t="s">
        <v>18</v>
      </c>
      <c r="F54" s="11">
        <v>44593</v>
      </c>
      <c r="G54" s="11">
        <v>44599</v>
      </c>
      <c r="J54" s="3">
        <v>390.7</v>
      </c>
      <c r="K54" s="3" t="s">
        <v>197</v>
      </c>
      <c r="L54" s="7">
        <f>VLOOKUP(B54,'CUSTO ATIVIDADE'!$A$1:$B$30,2,0)</f>
        <v>247.89395397660905</v>
      </c>
      <c r="M54" s="10">
        <f t="shared" ref="M54:M74" si="7">L54*J54</f>
        <v>96852.167818661153</v>
      </c>
      <c r="N54" s="3">
        <f>VLOOKUP(F54,SEMANAS!$B$1:$C$301,2,0)</f>
        <v>11</v>
      </c>
      <c r="O54" s="3">
        <f>VLOOKUP(G54,SEMANAS!$B$1:$C$301,2,0)</f>
        <v>12</v>
      </c>
      <c r="P54" s="52">
        <f>VLOOKUP(B54,'MT-MO'!$A$3:$C$31,2,0)</f>
        <v>0.13858702989570013</v>
      </c>
      <c r="Q54" s="52">
        <f>VLOOKUP(B54,'MT-MO'!$A$3:$C$31,3,0)</f>
        <v>0.86141297010429985</v>
      </c>
      <c r="R54" s="53">
        <f t="shared" si="1"/>
        <v>13422.45427694816</v>
      </c>
      <c r="S54" s="53">
        <f t="shared" si="2"/>
        <v>83429.71354171299</v>
      </c>
      <c r="T54" s="54">
        <f t="shared" si="3"/>
        <v>44578</v>
      </c>
      <c r="U54" s="54">
        <f t="shared" si="4"/>
        <v>44614</v>
      </c>
    </row>
    <row r="55" spans="1:21">
      <c r="A55" t="s">
        <v>104</v>
      </c>
      <c r="B55" t="s">
        <v>35</v>
      </c>
      <c r="C55" t="s">
        <v>36</v>
      </c>
      <c r="D55" t="s">
        <v>33</v>
      </c>
      <c r="E55" t="s">
        <v>18</v>
      </c>
      <c r="F55" s="11">
        <v>44600</v>
      </c>
      <c r="G55" s="11">
        <v>44606</v>
      </c>
      <c r="J55" s="3">
        <v>25.44</v>
      </c>
      <c r="K55" s="3" t="s">
        <v>198</v>
      </c>
      <c r="L55" s="7">
        <f>VLOOKUP(B55,'CUSTO ATIVIDADE'!$A$1:$B$30,2,0)</f>
        <v>2550.8020330415566</v>
      </c>
      <c r="M55" s="10">
        <f t="shared" si="7"/>
        <v>64892.403720577204</v>
      </c>
      <c r="N55" s="3">
        <f>VLOOKUP(F55,SEMANAS!$B$1:$C$301,2,0)</f>
        <v>12</v>
      </c>
      <c r="O55" s="3">
        <f>VLOOKUP(G55,SEMANAS!$B$1:$C$301,2,0)</f>
        <v>13</v>
      </c>
      <c r="P55" s="52">
        <f>VLOOKUP(B55,'MT-MO'!$A$3:$C$31,2,0)</f>
        <v>0.38396280966583479</v>
      </c>
      <c r="Q55" s="52">
        <f>VLOOKUP(B55,'MT-MO'!$A$3:$C$31,3,0)</f>
        <v>0.61603719033416515</v>
      </c>
      <c r="R55" s="53">
        <f t="shared" si="1"/>
        <v>24916.269658522495</v>
      </c>
      <c r="S55" s="53">
        <f t="shared" si="2"/>
        <v>39976.134062054705</v>
      </c>
      <c r="T55" s="54">
        <f t="shared" si="3"/>
        <v>44585</v>
      </c>
      <c r="U55" s="54">
        <f t="shared" si="4"/>
        <v>44621</v>
      </c>
    </row>
    <row r="56" spans="1:21">
      <c r="A56" t="s">
        <v>105</v>
      </c>
      <c r="B56" t="s">
        <v>38</v>
      </c>
      <c r="D56" t="s">
        <v>33</v>
      </c>
      <c r="E56" t="s">
        <v>18</v>
      </c>
      <c r="F56" s="11">
        <v>44621</v>
      </c>
      <c r="G56" s="11">
        <v>44627</v>
      </c>
      <c r="J56" s="3">
        <v>1</v>
      </c>
      <c r="K56" s="3" t="s">
        <v>200</v>
      </c>
      <c r="L56" s="7">
        <f>VLOOKUP(B56,'CUSTO ATIVIDADE'!$A$1:$B$30,2,0)</f>
        <v>13455.889210118192</v>
      </c>
      <c r="M56" s="10">
        <f t="shared" si="7"/>
        <v>13455.889210118192</v>
      </c>
      <c r="N56" s="3">
        <f>VLOOKUP(F56,SEMANAS!$B$1:$C$301,2,0)</f>
        <v>15</v>
      </c>
      <c r="O56" s="3">
        <f>VLOOKUP(G56,SEMANAS!$B$1:$C$301,2,0)</f>
        <v>16</v>
      </c>
      <c r="P56" s="52">
        <f>VLOOKUP(B56,'MT-MO'!$A$3:$C$31,2,0)</f>
        <v>0.35672482024413354</v>
      </c>
      <c r="Q56" s="52">
        <f>VLOOKUP(B56,'MT-MO'!$A$3:$C$31,3,0)</f>
        <v>0.64327517975586646</v>
      </c>
      <c r="R56" s="53">
        <f t="shared" si="1"/>
        <v>4800.0496597043884</v>
      </c>
      <c r="S56" s="53">
        <f t="shared" si="2"/>
        <v>8655.8395504138043</v>
      </c>
      <c r="T56" s="54">
        <f t="shared" si="3"/>
        <v>44606</v>
      </c>
      <c r="U56" s="54">
        <f t="shared" si="4"/>
        <v>44642</v>
      </c>
    </row>
    <row r="57" spans="1:21">
      <c r="A57" t="s">
        <v>106</v>
      </c>
      <c r="B57" t="s">
        <v>40</v>
      </c>
      <c r="D57" t="s">
        <v>33</v>
      </c>
      <c r="E57" t="s">
        <v>18</v>
      </c>
      <c r="F57" s="11">
        <v>44635</v>
      </c>
      <c r="G57" s="11">
        <v>44641</v>
      </c>
      <c r="J57" s="3">
        <v>140.59</v>
      </c>
      <c r="K57" s="3" t="s">
        <v>197</v>
      </c>
      <c r="L57" s="7">
        <f>VLOOKUP(B57,'CUSTO ATIVIDADE'!$A$1:$B$30,2,0)</f>
        <v>7</v>
      </c>
      <c r="M57" s="10">
        <f t="shared" si="7"/>
        <v>984.13</v>
      </c>
      <c r="N57" s="3">
        <f>VLOOKUP(F57,SEMANAS!$B$1:$C$301,2,0)</f>
        <v>17</v>
      </c>
      <c r="O57" s="3">
        <f>VLOOKUP(G57,SEMANAS!$B$1:$C$301,2,0)</f>
        <v>18</v>
      </c>
      <c r="P57" s="52">
        <f>VLOOKUP(B57,'MT-MO'!$A$3:$C$31,2,0)</f>
        <v>0.26486813778256191</v>
      </c>
      <c r="Q57" s="52">
        <f>VLOOKUP(B57,'MT-MO'!$A$3:$C$31,3,0)</f>
        <v>0.73513186221743809</v>
      </c>
      <c r="R57" s="53">
        <f t="shared" si="1"/>
        <v>260.66468043595268</v>
      </c>
      <c r="S57" s="53">
        <f t="shared" si="2"/>
        <v>723.46531956404738</v>
      </c>
      <c r="T57" s="54">
        <f t="shared" si="3"/>
        <v>44620</v>
      </c>
      <c r="U57" s="54">
        <f t="shared" si="4"/>
        <v>44656</v>
      </c>
    </row>
    <row r="58" spans="1:21">
      <c r="A58" t="s">
        <v>107</v>
      </c>
      <c r="B58" t="s">
        <v>42</v>
      </c>
      <c r="D58" t="s">
        <v>33</v>
      </c>
      <c r="E58" t="s">
        <v>43</v>
      </c>
      <c r="F58" s="11">
        <v>44656</v>
      </c>
      <c r="G58" s="11">
        <v>44658</v>
      </c>
      <c r="J58" s="3">
        <v>10.69</v>
      </c>
      <c r="K58" s="3" t="s">
        <v>197</v>
      </c>
      <c r="L58" s="7">
        <f>VLOOKUP(B58,'CUSTO ATIVIDADE'!$A$1:$B$30,2,0)</f>
        <v>295.46807160325829</v>
      </c>
      <c r="M58" s="10">
        <f t="shared" si="7"/>
        <v>3158.5536854388311</v>
      </c>
      <c r="N58" s="3">
        <f>VLOOKUP(F58,SEMANAS!$B$1:$C$301,2,0)</f>
        <v>20</v>
      </c>
      <c r="O58" s="3">
        <f>VLOOKUP(G58,SEMANAS!$B$1:$C$301,2,0)</f>
        <v>20</v>
      </c>
      <c r="P58" s="52">
        <f>VLOOKUP(B58,'MT-MO'!$A$3:$C$31,2,0)</f>
        <v>0.62478082992402106</v>
      </c>
      <c r="Q58" s="52">
        <f>VLOOKUP(B58,'MT-MO'!$A$3:$C$31,3,0)</f>
        <v>0.37521917007597894</v>
      </c>
      <c r="R58" s="53">
        <f t="shared" si="1"/>
        <v>1973.4037929480482</v>
      </c>
      <c r="S58" s="53">
        <f t="shared" si="2"/>
        <v>1185.1498924907828</v>
      </c>
      <c r="T58" s="54">
        <f t="shared" si="3"/>
        <v>44641</v>
      </c>
      <c r="U58" s="54">
        <f t="shared" si="4"/>
        <v>44673</v>
      </c>
    </row>
    <row r="59" spans="1:21">
      <c r="A59" t="s">
        <v>108</v>
      </c>
      <c r="B59" t="s">
        <v>45</v>
      </c>
      <c r="D59" t="s">
        <v>33</v>
      </c>
      <c r="E59" t="s">
        <v>18</v>
      </c>
      <c r="F59" s="11">
        <v>44665</v>
      </c>
      <c r="G59" s="11">
        <v>44672</v>
      </c>
      <c r="J59" s="3">
        <v>6.08</v>
      </c>
      <c r="K59" s="3" t="s">
        <v>197</v>
      </c>
      <c r="L59" s="7">
        <f>VLOOKUP(B59,'CUSTO ATIVIDADE'!$A$1:$B$30,2,0)</f>
        <v>39.299999999999997</v>
      </c>
      <c r="M59" s="10">
        <f t="shared" si="7"/>
        <v>238.94399999999999</v>
      </c>
      <c r="N59" s="3">
        <f>VLOOKUP(F59,SEMANAS!$B$1:$C$301,2,0)</f>
        <v>21</v>
      </c>
      <c r="O59" s="3">
        <f>VLOOKUP(G59,SEMANAS!$B$1:$C$301,2,0)</f>
        <v>22</v>
      </c>
      <c r="P59" s="52">
        <f>VLOOKUP(B59,'MT-MO'!$A$3:$C$31,2,0)</f>
        <v>0.45815899581589958</v>
      </c>
      <c r="Q59" s="52">
        <f>VLOOKUP(B59,'MT-MO'!$A$3:$C$31,3,0)</f>
        <v>0.54184100418410042</v>
      </c>
      <c r="R59" s="53">
        <f t="shared" si="1"/>
        <v>109.47434309623431</v>
      </c>
      <c r="S59" s="53">
        <f t="shared" si="2"/>
        <v>129.4696569037657</v>
      </c>
      <c r="T59" s="54">
        <f t="shared" si="3"/>
        <v>44650</v>
      </c>
      <c r="U59" s="54">
        <f t="shared" si="4"/>
        <v>44687</v>
      </c>
    </row>
    <row r="60" spans="1:21">
      <c r="A60" t="s">
        <v>109</v>
      </c>
      <c r="B60" t="s">
        <v>47</v>
      </c>
      <c r="D60" t="s">
        <v>33</v>
      </c>
      <c r="E60" t="s">
        <v>18</v>
      </c>
      <c r="F60" s="11">
        <v>44679</v>
      </c>
      <c r="G60" s="11">
        <v>44686</v>
      </c>
      <c r="J60" s="3">
        <v>86.26</v>
      </c>
      <c r="K60" s="3" t="s">
        <v>197</v>
      </c>
      <c r="L60" s="7">
        <f>VLOOKUP(B60,'CUSTO ATIVIDADE'!$A$1:$B$30,2,0)</f>
        <v>236.90944856477213</v>
      </c>
      <c r="M60" s="10">
        <f t="shared" si="7"/>
        <v>20435.809033197245</v>
      </c>
      <c r="N60" s="3">
        <f>VLOOKUP(F60,SEMANAS!$B$1:$C$301,2,0)</f>
        <v>23</v>
      </c>
      <c r="O60" s="3">
        <f>VLOOKUP(G60,SEMANAS!$B$1:$C$301,2,0)</f>
        <v>24</v>
      </c>
      <c r="P60" s="52">
        <f>VLOOKUP(B60,'MT-MO'!$A$3:$C$31,2,0)</f>
        <v>0.57761004134961225</v>
      </c>
      <c r="Q60" s="52">
        <f>VLOOKUP(B60,'MT-MO'!$A$3:$C$31,3,0)</f>
        <v>0.42238995865038781</v>
      </c>
      <c r="R60" s="53">
        <f t="shared" si="1"/>
        <v>11803.928500677841</v>
      </c>
      <c r="S60" s="53">
        <f t="shared" si="2"/>
        <v>8631.8805325194062</v>
      </c>
      <c r="T60" s="54">
        <f t="shared" si="3"/>
        <v>44664</v>
      </c>
      <c r="U60" s="54">
        <f t="shared" si="4"/>
        <v>44701</v>
      </c>
    </row>
    <row r="61" spans="1:21">
      <c r="A61" t="s">
        <v>110</v>
      </c>
      <c r="B61" t="s">
        <v>49</v>
      </c>
      <c r="D61" t="s">
        <v>33</v>
      </c>
      <c r="E61" t="s">
        <v>18</v>
      </c>
      <c r="F61" s="11">
        <v>44693</v>
      </c>
      <c r="G61" s="11">
        <v>44700</v>
      </c>
      <c r="J61" s="3">
        <v>447.45</v>
      </c>
      <c r="K61" s="3" t="s">
        <v>197</v>
      </c>
      <c r="L61" s="7">
        <f>VLOOKUP(B61,'CUSTO ATIVIDADE'!$A$1:$B$30,2,0)</f>
        <v>15.222400000000006</v>
      </c>
      <c r="M61" s="10">
        <f t="shared" si="7"/>
        <v>6811.262880000002</v>
      </c>
      <c r="N61" s="3">
        <f>VLOOKUP(F61,SEMANAS!$B$1:$C$301,2,0)</f>
        <v>25</v>
      </c>
      <c r="O61" s="3">
        <f>VLOOKUP(G61,SEMANAS!$B$1:$C$301,2,0)</f>
        <v>26</v>
      </c>
      <c r="P61" s="52">
        <f>VLOOKUP(B61,'MT-MO'!$A$3:$C$31,2,0)</f>
        <v>0.45986419526518629</v>
      </c>
      <c r="Q61" s="52">
        <f>VLOOKUP(B61,'MT-MO'!$A$3:$C$31,3,0)</f>
        <v>0.54013580473481371</v>
      </c>
      <c r="R61" s="53">
        <f t="shared" si="1"/>
        <v>3132.2559230508359</v>
      </c>
      <c r="S61" s="53">
        <f t="shared" si="2"/>
        <v>3679.0069569491661</v>
      </c>
      <c r="T61" s="54">
        <f t="shared" si="3"/>
        <v>44678</v>
      </c>
      <c r="U61" s="54">
        <f t="shared" si="4"/>
        <v>44715</v>
      </c>
    </row>
    <row r="62" spans="1:21">
      <c r="A62" t="s">
        <v>111</v>
      </c>
      <c r="B62" t="s">
        <v>51</v>
      </c>
      <c r="D62" t="s">
        <v>33</v>
      </c>
      <c r="E62" t="s">
        <v>18</v>
      </c>
      <c r="F62" s="11">
        <v>44714</v>
      </c>
      <c r="G62" s="11">
        <v>44721</v>
      </c>
      <c r="J62" s="3">
        <v>21</v>
      </c>
      <c r="K62" s="3" t="s">
        <v>201</v>
      </c>
      <c r="L62" s="7">
        <f>VLOOKUP(B62,'CUSTO ATIVIDADE'!$A$1:$B$30,2,0)</f>
        <v>1261.9047619047619</v>
      </c>
      <c r="M62" s="10">
        <f t="shared" si="7"/>
        <v>26500</v>
      </c>
      <c r="N62" s="3">
        <f>VLOOKUP(F62,SEMANAS!$B$1:$C$301,2,0)</f>
        <v>28</v>
      </c>
      <c r="O62" s="3">
        <f>VLOOKUP(G62,SEMANAS!$B$1:$C$301,2,0)</f>
        <v>29</v>
      </c>
      <c r="P62" s="52">
        <f>VLOOKUP(B62,'MT-MO'!$A$3:$C$31,2,0)</f>
        <v>0.19811320754716982</v>
      </c>
      <c r="Q62" s="52">
        <f>VLOOKUP(B62,'MT-MO'!$A$3:$C$31,3,0)</f>
        <v>0.80188679245283023</v>
      </c>
      <c r="R62" s="53">
        <f t="shared" si="1"/>
        <v>5250</v>
      </c>
      <c r="S62" s="53">
        <f t="shared" si="2"/>
        <v>21250</v>
      </c>
      <c r="T62" s="54">
        <f t="shared" si="3"/>
        <v>44699</v>
      </c>
      <c r="U62" s="54">
        <f t="shared" si="4"/>
        <v>44736</v>
      </c>
    </row>
    <row r="63" spans="1:21">
      <c r="A63" t="s">
        <v>112</v>
      </c>
      <c r="B63" t="s">
        <v>53</v>
      </c>
      <c r="D63" t="s">
        <v>33</v>
      </c>
      <c r="E63" t="s">
        <v>18</v>
      </c>
      <c r="F63" s="11">
        <v>44721</v>
      </c>
      <c r="G63" s="11">
        <v>44728</v>
      </c>
      <c r="J63" s="3">
        <v>4</v>
      </c>
      <c r="K63" s="3" t="s">
        <v>202</v>
      </c>
      <c r="L63" s="7">
        <f>VLOOKUP(B63,'CUSTO ATIVIDADE'!$A$1:$B$30,2,0)</f>
        <v>1283.6297966501836</v>
      </c>
      <c r="M63" s="10">
        <f t="shared" si="7"/>
        <v>5134.5191866007344</v>
      </c>
      <c r="N63" s="3">
        <f>VLOOKUP(F63,SEMANAS!$B$1:$C$301,2,0)</f>
        <v>29</v>
      </c>
      <c r="O63" s="3">
        <f>VLOOKUP(G63,SEMANAS!$B$1:$C$301,2,0)</f>
        <v>30</v>
      </c>
      <c r="P63" s="52">
        <f>VLOOKUP(B63,'MT-MO'!$A$3:$C$31,2,0)</f>
        <v>0.62323497906319991</v>
      </c>
      <c r="Q63" s="52">
        <f>VLOOKUP(B63,'MT-MO'!$A$3:$C$31,3,0)</f>
        <v>0.37676502093680009</v>
      </c>
      <c r="R63" s="53">
        <f t="shared" si="1"/>
        <v>3200.011957760707</v>
      </c>
      <c r="S63" s="53">
        <f t="shared" si="2"/>
        <v>1934.5072288400274</v>
      </c>
      <c r="T63" s="54">
        <f t="shared" si="3"/>
        <v>44706</v>
      </c>
      <c r="U63" s="54">
        <f t="shared" si="4"/>
        <v>44743</v>
      </c>
    </row>
    <row r="64" spans="1:21">
      <c r="A64" t="s">
        <v>113</v>
      </c>
      <c r="B64" t="s">
        <v>55</v>
      </c>
      <c r="D64" t="s">
        <v>33</v>
      </c>
      <c r="E64" t="s">
        <v>18</v>
      </c>
      <c r="F64" s="11">
        <v>44735</v>
      </c>
      <c r="G64" s="11">
        <v>44742</v>
      </c>
      <c r="J64" s="3">
        <v>29.29</v>
      </c>
      <c r="K64" s="3" t="s">
        <v>197</v>
      </c>
      <c r="L64" s="7">
        <f>VLOOKUP(B64,'CUSTO ATIVIDADE'!$A$1:$B$30,2,0)</f>
        <v>78.445334999999986</v>
      </c>
      <c r="M64" s="10">
        <f t="shared" si="7"/>
        <v>2297.6638621499997</v>
      </c>
      <c r="N64" s="3">
        <f>VLOOKUP(F64,SEMANAS!$B$1:$C$301,2,0)</f>
        <v>31</v>
      </c>
      <c r="O64" s="3">
        <f>VLOOKUP(G64,SEMANAS!$B$1:$C$301,2,0)</f>
        <v>32</v>
      </c>
      <c r="P64" s="52">
        <f>VLOOKUP(B64,'MT-MO'!$A$3:$C$31,2,0)</f>
        <v>0.31868131868131866</v>
      </c>
      <c r="Q64" s="52">
        <f>VLOOKUP(B64,'MT-MO'!$A$3:$C$31,3,0)</f>
        <v>0.68131868131868134</v>
      </c>
      <c r="R64" s="53">
        <f t="shared" si="1"/>
        <v>732.2225494763735</v>
      </c>
      <c r="S64" s="53">
        <f t="shared" si="2"/>
        <v>1565.4413126736263</v>
      </c>
      <c r="T64" s="54">
        <f t="shared" si="3"/>
        <v>44720</v>
      </c>
      <c r="U64" s="54">
        <f t="shared" si="4"/>
        <v>44757</v>
      </c>
    </row>
    <row r="65" spans="1:21">
      <c r="A65" t="s">
        <v>114</v>
      </c>
      <c r="B65" t="s">
        <v>57</v>
      </c>
      <c r="D65" t="s">
        <v>33</v>
      </c>
      <c r="E65" t="s">
        <v>43</v>
      </c>
      <c r="F65" s="11">
        <v>44742</v>
      </c>
      <c r="G65" s="11">
        <v>44746</v>
      </c>
      <c r="J65" s="3">
        <v>4</v>
      </c>
      <c r="K65" s="3" t="s">
        <v>202</v>
      </c>
      <c r="L65" s="7">
        <f>VLOOKUP(B65,'CUSTO ATIVIDADE'!$A$1:$B$30,2,0)</f>
        <v>350</v>
      </c>
      <c r="M65" s="10">
        <f t="shared" si="7"/>
        <v>1400</v>
      </c>
      <c r="N65" s="3">
        <f>VLOOKUP(F65,SEMANAS!$B$1:$C$301,2,0)</f>
        <v>32</v>
      </c>
      <c r="O65" s="3">
        <f>VLOOKUP(G65,SEMANAS!$B$1:$C$301,2,0)</f>
        <v>33</v>
      </c>
      <c r="P65" s="52">
        <f>VLOOKUP(B65,'MT-MO'!$A$3:$C$31,2,0)</f>
        <v>1</v>
      </c>
      <c r="Q65" s="52">
        <f>VLOOKUP(B65,'MT-MO'!$A$3:$C$31,3,0)</f>
        <v>0</v>
      </c>
      <c r="R65" s="53">
        <f t="shared" si="1"/>
        <v>1400</v>
      </c>
      <c r="S65" s="53">
        <f t="shared" si="2"/>
        <v>0</v>
      </c>
      <c r="T65" s="54">
        <f t="shared" si="3"/>
        <v>44727</v>
      </c>
      <c r="U65" s="54">
        <f t="shared" si="4"/>
        <v>44761</v>
      </c>
    </row>
    <row r="66" spans="1:21">
      <c r="A66" t="s">
        <v>115</v>
      </c>
      <c r="B66" t="s">
        <v>59</v>
      </c>
      <c r="C66" t="s">
        <v>36</v>
      </c>
      <c r="D66" t="s">
        <v>33</v>
      </c>
      <c r="E66" t="s">
        <v>18</v>
      </c>
      <c r="F66" s="11">
        <v>44742</v>
      </c>
      <c r="G66" s="11">
        <v>44749</v>
      </c>
      <c r="J66" s="3">
        <v>22.5</v>
      </c>
      <c r="K66" s="3" t="s">
        <v>197</v>
      </c>
      <c r="L66" s="7">
        <f>VLOOKUP(B66,'CUSTO ATIVIDADE'!$A$1:$B$30,2,0)</f>
        <v>160.77478755454416</v>
      </c>
      <c r="M66" s="10">
        <f t="shared" si="7"/>
        <v>3617.4327199772438</v>
      </c>
      <c r="N66" s="3">
        <f>VLOOKUP(F66,SEMANAS!$B$1:$C$301,2,0)</f>
        <v>32</v>
      </c>
      <c r="O66" s="3">
        <f>VLOOKUP(G66,SEMANAS!$B$1:$C$301,2,0)</f>
        <v>33</v>
      </c>
      <c r="P66" s="52">
        <f>VLOOKUP(B66,'MT-MO'!$A$3:$C$31,2,0)</f>
        <v>0.28742225293711127</v>
      </c>
      <c r="Q66" s="52">
        <f>VLOOKUP(B66,'MT-MO'!$A$3:$C$31,3,0)</f>
        <v>0.71257774706288879</v>
      </c>
      <c r="R66" s="53">
        <f t="shared" si="1"/>
        <v>1039.7306622242818</v>
      </c>
      <c r="S66" s="53">
        <f t="shared" si="2"/>
        <v>2577.7020577529624</v>
      </c>
      <c r="T66" s="54">
        <f t="shared" si="3"/>
        <v>44727</v>
      </c>
      <c r="U66" s="54">
        <f t="shared" si="4"/>
        <v>44764</v>
      </c>
    </row>
    <row r="67" spans="1:21">
      <c r="A67" t="s">
        <v>116</v>
      </c>
      <c r="B67" t="s">
        <v>61</v>
      </c>
      <c r="D67" t="s">
        <v>33</v>
      </c>
      <c r="E67" t="s">
        <v>18</v>
      </c>
      <c r="F67" s="11">
        <v>44749</v>
      </c>
      <c r="G67" s="11">
        <v>44756</v>
      </c>
      <c r="J67" s="3">
        <v>476.74</v>
      </c>
      <c r="K67" s="3" t="s">
        <v>197</v>
      </c>
      <c r="L67" s="7">
        <f>VLOOKUP(B67,'CUSTO ATIVIDADE'!$A$1:$B$30,2,0)</f>
        <v>31.043507801912533</v>
      </c>
      <c r="M67" s="10">
        <f t="shared" si="7"/>
        <v>14799.681909483781</v>
      </c>
      <c r="N67" s="3">
        <f>VLOOKUP(F67,SEMANAS!$B$1:$C$301,2,0)</f>
        <v>33</v>
      </c>
      <c r="O67" s="3">
        <f>VLOOKUP(G67,SEMANAS!$B$1:$C$301,2,0)</f>
        <v>34</v>
      </c>
      <c r="P67" s="52">
        <f>VLOOKUP(B67,'MT-MO'!$A$3:$C$31,2,0)</f>
        <v>0.52623399439170238</v>
      </c>
      <c r="Q67" s="52">
        <f>VLOOKUP(B67,'MT-MO'!$A$3:$C$31,3,0)</f>
        <v>0.47376600560829757</v>
      </c>
      <c r="R67" s="53">
        <f t="shared" si="1"/>
        <v>7788.0957269542669</v>
      </c>
      <c r="S67" s="53">
        <f t="shared" si="2"/>
        <v>7011.5861825295133</v>
      </c>
      <c r="T67" s="54">
        <f t="shared" si="3"/>
        <v>44734</v>
      </c>
      <c r="U67" s="54">
        <f t="shared" si="4"/>
        <v>44771</v>
      </c>
    </row>
    <row r="68" spans="1:21">
      <c r="A68" t="s">
        <v>117</v>
      </c>
      <c r="B68" t="s">
        <v>63</v>
      </c>
      <c r="C68" t="s">
        <v>36</v>
      </c>
      <c r="D68" t="s">
        <v>33</v>
      </c>
      <c r="E68" t="s">
        <v>43</v>
      </c>
      <c r="F68" s="11">
        <v>44761</v>
      </c>
      <c r="G68" s="11">
        <v>44763</v>
      </c>
      <c r="J68" s="3">
        <v>16</v>
      </c>
      <c r="K68" s="3" t="s">
        <v>201</v>
      </c>
      <c r="L68" s="7">
        <f>VLOOKUP(B68,'CUSTO ATIVIDADE'!$A$1:$B$30,2,0)</f>
        <v>327.25146699999999</v>
      </c>
      <c r="M68" s="10">
        <f t="shared" si="7"/>
        <v>5236.0234719999999</v>
      </c>
      <c r="N68" s="3">
        <f>VLOOKUP(F68,SEMANAS!$B$1:$C$301,2,0)</f>
        <v>35</v>
      </c>
      <c r="O68" s="3">
        <f>VLOOKUP(G68,SEMANAS!$B$1:$C$301,2,0)</f>
        <v>35</v>
      </c>
      <c r="P68" s="52">
        <f>VLOOKUP(B68,'MT-MO'!$A$3:$C$31,2,0)</f>
        <v>0.15279568352194051</v>
      </c>
      <c r="Q68" s="52">
        <f>VLOOKUP(B68,'MT-MO'!$A$3:$C$31,3,0)</f>
        <v>0.84720431647805949</v>
      </c>
      <c r="R68" s="53">
        <f t="shared" si="1"/>
        <v>800.04178534116409</v>
      </c>
      <c r="S68" s="53">
        <f t="shared" si="2"/>
        <v>4435.9816866588353</v>
      </c>
      <c r="T68" s="54">
        <f t="shared" si="3"/>
        <v>44746</v>
      </c>
      <c r="U68" s="54">
        <f t="shared" si="4"/>
        <v>44778</v>
      </c>
    </row>
    <row r="69" spans="1:21">
      <c r="A69" t="s">
        <v>118</v>
      </c>
      <c r="B69" t="s">
        <v>65</v>
      </c>
      <c r="C69" t="s">
        <v>36</v>
      </c>
      <c r="D69" t="s">
        <v>33</v>
      </c>
      <c r="E69" t="s">
        <v>43</v>
      </c>
      <c r="F69" s="11">
        <v>44763</v>
      </c>
      <c r="G69" s="11">
        <v>44767</v>
      </c>
      <c r="J69" s="3">
        <v>20</v>
      </c>
      <c r="K69" s="3" t="s">
        <v>201</v>
      </c>
      <c r="L69" s="7">
        <f>VLOOKUP(B69,'CUSTO ATIVIDADE'!$A$1:$B$30,2,0)</f>
        <v>520</v>
      </c>
      <c r="M69" s="10">
        <f t="shared" si="7"/>
        <v>10400</v>
      </c>
      <c r="N69" s="3">
        <f>VLOOKUP(F69,SEMANAS!$B$1:$C$301,2,0)</f>
        <v>35</v>
      </c>
      <c r="O69" s="3">
        <f>VLOOKUP(G69,SEMANAS!$B$1:$C$301,2,0)</f>
        <v>36</v>
      </c>
      <c r="P69" s="52">
        <f>VLOOKUP(B69,'MT-MO'!$A$3:$C$31,2,0)</f>
        <v>0.15384615384615385</v>
      </c>
      <c r="Q69" s="52">
        <f>VLOOKUP(B69,'MT-MO'!$A$3:$C$31,3,0)</f>
        <v>0.84615384615384615</v>
      </c>
      <c r="R69" s="53">
        <f t="shared" ref="R69:R120" si="8">P69*M69</f>
        <v>1600</v>
      </c>
      <c r="S69" s="53">
        <f t="shared" ref="S69:S120" si="9">Q69*M69</f>
        <v>8800</v>
      </c>
      <c r="T69" s="54">
        <f t="shared" ref="T69:T120" si="10">F69-15</f>
        <v>44748</v>
      </c>
      <c r="U69" s="54">
        <f t="shared" ref="U69:U120" si="11">G69+15</f>
        <v>44782</v>
      </c>
    </row>
    <row r="70" spans="1:21">
      <c r="A70" t="s">
        <v>119</v>
      </c>
      <c r="B70" t="s">
        <v>67</v>
      </c>
      <c r="D70" t="s">
        <v>33</v>
      </c>
      <c r="E70" t="s">
        <v>18</v>
      </c>
      <c r="F70" s="11">
        <v>44775</v>
      </c>
      <c r="G70" s="11">
        <v>44781</v>
      </c>
      <c r="J70" s="3">
        <v>80.88</v>
      </c>
      <c r="K70" s="3" t="s">
        <v>197</v>
      </c>
      <c r="L70" s="7">
        <f>VLOOKUP(B70,'CUSTO ATIVIDADE'!$A$1:$B$30,2,0)</f>
        <v>162.85785630043145</v>
      </c>
      <c r="M70" s="10">
        <f t="shared" si="7"/>
        <v>13171.943417578896</v>
      </c>
      <c r="N70" s="3">
        <f>VLOOKUP(F70,SEMANAS!$B$1:$C$301,2,0)</f>
        <v>37</v>
      </c>
      <c r="O70" s="3">
        <f>VLOOKUP(G70,SEMANAS!$B$1:$C$301,2,0)</f>
        <v>38</v>
      </c>
      <c r="P70" s="52">
        <f>VLOOKUP(B70,'MT-MO'!$A$3:$C$31,2,0)</f>
        <v>0.15351618107620765</v>
      </c>
      <c r="Q70" s="52">
        <f>VLOOKUP(B70,'MT-MO'!$A$3:$C$31,3,0)</f>
        <v>0.84648381892379232</v>
      </c>
      <c r="R70" s="53">
        <f t="shared" si="8"/>
        <v>2022.1064508186032</v>
      </c>
      <c r="S70" s="53">
        <f t="shared" si="9"/>
        <v>11149.836966760293</v>
      </c>
      <c r="T70" s="54">
        <f t="shared" si="10"/>
        <v>44760</v>
      </c>
      <c r="U70" s="54">
        <f t="shared" si="11"/>
        <v>44796</v>
      </c>
    </row>
    <row r="71" spans="1:21">
      <c r="A71" t="s">
        <v>120</v>
      </c>
      <c r="B71" t="s">
        <v>69</v>
      </c>
      <c r="D71" t="s">
        <v>33</v>
      </c>
      <c r="E71" t="s">
        <v>43</v>
      </c>
      <c r="F71" s="11">
        <v>44784</v>
      </c>
      <c r="G71" s="11">
        <v>44788</v>
      </c>
      <c r="J71" s="3">
        <v>12</v>
      </c>
      <c r="K71" s="3" t="s">
        <v>201</v>
      </c>
      <c r="L71" s="7">
        <f>VLOOKUP(B71,'CUSTO ATIVIDADE'!$A$1:$B$30,2,0)</f>
        <v>111.67</v>
      </c>
      <c r="M71" s="10">
        <f t="shared" si="7"/>
        <v>1340.04</v>
      </c>
      <c r="N71" s="3">
        <f>VLOOKUP(F71,SEMANAS!$B$1:$C$301,2,0)</f>
        <v>38</v>
      </c>
      <c r="O71" s="3">
        <f>VLOOKUP(G71,SEMANAS!$B$1:$C$301,2,0)</f>
        <v>39</v>
      </c>
      <c r="P71" s="52">
        <f>VLOOKUP(B71,'MT-MO'!$A$3:$C$31,2,0)</f>
        <v>0.44776119402985076</v>
      </c>
      <c r="Q71" s="52">
        <f>VLOOKUP(B71,'MT-MO'!$A$3:$C$31,3,0)</f>
        <v>0.55223880597014929</v>
      </c>
      <c r="R71" s="53">
        <f t="shared" si="8"/>
        <v>600.01791044776121</v>
      </c>
      <c r="S71" s="53">
        <f t="shared" si="9"/>
        <v>740.02208955223887</v>
      </c>
      <c r="T71" s="54">
        <f t="shared" si="10"/>
        <v>44769</v>
      </c>
      <c r="U71" s="54">
        <f t="shared" si="11"/>
        <v>44803</v>
      </c>
    </row>
    <row r="72" spans="1:21">
      <c r="A72" t="s">
        <v>121</v>
      </c>
      <c r="B72" t="s">
        <v>71</v>
      </c>
      <c r="D72" t="s">
        <v>33</v>
      </c>
      <c r="E72" t="s">
        <v>43</v>
      </c>
      <c r="F72" s="11">
        <v>44784</v>
      </c>
      <c r="G72" s="11">
        <v>44788</v>
      </c>
      <c r="J72" s="9">
        <v>4</v>
      </c>
      <c r="K72" s="3" t="s">
        <v>202</v>
      </c>
      <c r="L72" s="7">
        <f>VLOOKUP(B72,'CUSTO ATIVIDADE'!$A$1:$B$30,2,0)</f>
        <v>513.50426281564182</v>
      </c>
      <c r="M72" s="10">
        <f t="shared" si="7"/>
        <v>2054.0170512625673</v>
      </c>
      <c r="N72" s="3">
        <f>VLOOKUP(F72,SEMANAS!$B$1:$C$301,2,0)</f>
        <v>38</v>
      </c>
      <c r="O72" s="3">
        <f>VLOOKUP(G72,SEMANAS!$B$1:$C$301,2,0)</f>
        <v>39</v>
      </c>
      <c r="P72" s="52">
        <f>VLOOKUP(B72,'MT-MO'!$A$3:$C$32,2,0)</f>
        <v>0.45</v>
      </c>
      <c r="Q72" s="52">
        <f>VLOOKUP(B72,'MT-MO'!$A$3:$C$32,3,0)</f>
        <v>0.55000000000000004</v>
      </c>
      <c r="R72" s="53">
        <f t="shared" si="8"/>
        <v>924.30767306815528</v>
      </c>
      <c r="S72" s="53">
        <f t="shared" si="9"/>
        <v>1129.709378194412</v>
      </c>
      <c r="T72" s="54">
        <f t="shared" si="10"/>
        <v>44769</v>
      </c>
      <c r="U72" s="54">
        <f t="shared" si="11"/>
        <v>44803</v>
      </c>
    </row>
    <row r="73" spans="1:21">
      <c r="A73" t="s">
        <v>122</v>
      </c>
      <c r="B73" t="s">
        <v>73</v>
      </c>
      <c r="D73" t="s">
        <v>33</v>
      </c>
      <c r="E73" t="s">
        <v>18</v>
      </c>
      <c r="F73" s="11">
        <v>44796</v>
      </c>
      <c r="G73" s="11">
        <v>44802</v>
      </c>
      <c r="J73" s="3">
        <v>614.55999999999995</v>
      </c>
      <c r="K73" s="3" t="s">
        <v>197</v>
      </c>
      <c r="L73" s="7">
        <f>VLOOKUP(B73,'CUSTO ATIVIDADE'!$A$1:$B$30,2,0)</f>
        <v>6</v>
      </c>
      <c r="M73" s="10">
        <f t="shared" si="7"/>
        <v>3687.3599999999997</v>
      </c>
      <c r="N73" s="3">
        <f>VLOOKUP(F73,SEMANAS!$B$1:$C$301,2,0)</f>
        <v>40</v>
      </c>
      <c r="O73" s="3">
        <f>VLOOKUP(G73,SEMANAS!$B$1:$C$301,2,0)</f>
        <v>41</v>
      </c>
      <c r="P73" s="52">
        <f>VLOOKUP(B73,'MT-MO'!$A$3:$C$31,2,0)</f>
        <v>1</v>
      </c>
      <c r="Q73" s="52">
        <f>VLOOKUP(B73,'MT-MO'!$A$3:$C$31,3,0)</f>
        <v>0</v>
      </c>
      <c r="R73" s="53">
        <f t="shared" si="8"/>
        <v>3687.3599999999997</v>
      </c>
      <c r="S73" s="53">
        <f t="shared" si="9"/>
        <v>0</v>
      </c>
      <c r="T73" s="54">
        <f t="shared" si="10"/>
        <v>44781</v>
      </c>
      <c r="U73" s="54">
        <f t="shared" si="11"/>
        <v>44817</v>
      </c>
    </row>
    <row r="74" spans="1:21">
      <c r="A74" t="s">
        <v>123</v>
      </c>
      <c r="B74" t="s">
        <v>75</v>
      </c>
      <c r="D74" t="s">
        <v>33</v>
      </c>
      <c r="E74" t="s">
        <v>43</v>
      </c>
      <c r="F74" s="11">
        <v>44803</v>
      </c>
      <c r="G74" s="11">
        <v>44805</v>
      </c>
      <c r="J74" s="3">
        <v>0.25</v>
      </c>
      <c r="K74" s="3" t="s">
        <v>199</v>
      </c>
      <c r="L74" s="7">
        <f>VLOOKUP(B74,'CUSTO ATIVIDADE'!$A$1:$B$30,2,0)</f>
        <v>2000</v>
      </c>
      <c r="M74" s="10">
        <f t="shared" si="7"/>
        <v>500</v>
      </c>
      <c r="N74" s="3">
        <f>VLOOKUP(F74,SEMANAS!$B$1:$C$301,2,0)</f>
        <v>41</v>
      </c>
      <c r="O74" s="3">
        <f>VLOOKUP(G74,SEMANAS!$B$1:$C$301,2,0)</f>
        <v>41</v>
      </c>
      <c r="P74" s="52">
        <f>VLOOKUP(B74,'MT-MO'!$A$3:$C$31,2,0)</f>
        <v>1</v>
      </c>
      <c r="Q74" s="52">
        <f>VLOOKUP(B74,'MT-MO'!$A$3:$C$31,3,0)</f>
        <v>0</v>
      </c>
      <c r="R74" s="53">
        <f t="shared" si="8"/>
        <v>500</v>
      </c>
      <c r="S74" s="53">
        <f t="shared" si="9"/>
        <v>0</v>
      </c>
      <c r="T74" s="54">
        <f t="shared" si="10"/>
        <v>44788</v>
      </c>
      <c r="U74" s="54">
        <f t="shared" si="11"/>
        <v>44820</v>
      </c>
    </row>
    <row r="75" spans="1:21">
      <c r="A75" t="s">
        <v>124</v>
      </c>
      <c r="B75" t="s">
        <v>125</v>
      </c>
      <c r="E75" t="s">
        <v>126</v>
      </c>
      <c r="F75" s="11">
        <v>44607</v>
      </c>
      <c r="G75" s="11">
        <v>44813</v>
      </c>
      <c r="J75" s="3" t="s">
        <v>11</v>
      </c>
      <c r="N75" s="3">
        <f>VLOOKUP(F75,SEMANAS!$B$1:$C$301,2,0)</f>
        <v>13</v>
      </c>
      <c r="O75" s="3">
        <f>VLOOKUP(G75,SEMANAS!$B$1:$C$301,2,0)</f>
        <v>42</v>
      </c>
      <c r="R75" s="53">
        <f t="shared" si="8"/>
        <v>0</v>
      </c>
      <c r="S75" s="53">
        <f t="shared" si="9"/>
        <v>0</v>
      </c>
      <c r="T75" s="54">
        <f t="shared" si="10"/>
        <v>44592</v>
      </c>
      <c r="U75" s="54">
        <f t="shared" si="11"/>
        <v>44828</v>
      </c>
    </row>
    <row r="76" spans="1:21">
      <c r="A76" t="s">
        <v>127</v>
      </c>
      <c r="B76" t="s">
        <v>32</v>
      </c>
      <c r="D76" t="s">
        <v>33</v>
      </c>
      <c r="E76" t="s">
        <v>18</v>
      </c>
      <c r="F76" s="11">
        <v>44607</v>
      </c>
      <c r="G76" s="11">
        <v>44613</v>
      </c>
      <c r="J76" s="3">
        <v>390.7</v>
      </c>
      <c r="K76" s="3" t="s">
        <v>197</v>
      </c>
      <c r="L76" s="7">
        <f>VLOOKUP(B76,'CUSTO ATIVIDADE'!$A$1:$B$30,2,0)</f>
        <v>247.89395397660905</v>
      </c>
      <c r="M76" s="10">
        <f t="shared" ref="M76:M96" si="12">L76*J76</f>
        <v>96852.167818661153</v>
      </c>
      <c r="N76" s="3">
        <f>VLOOKUP(F76,SEMANAS!$B$1:$C$301,2,0)</f>
        <v>13</v>
      </c>
      <c r="O76" s="3">
        <f>VLOOKUP(G76,SEMANAS!$B$1:$C$301,2,0)</f>
        <v>14</v>
      </c>
      <c r="P76" s="52">
        <f>VLOOKUP(B76,'MT-MO'!$A$3:$C$31,2,0)</f>
        <v>0.13858702989570013</v>
      </c>
      <c r="Q76" s="52">
        <f>VLOOKUP(B76,'MT-MO'!$A$3:$C$31,3,0)</f>
        <v>0.86141297010429985</v>
      </c>
      <c r="R76" s="53">
        <f t="shared" si="8"/>
        <v>13422.45427694816</v>
      </c>
      <c r="S76" s="53">
        <f t="shared" si="9"/>
        <v>83429.71354171299</v>
      </c>
      <c r="T76" s="54">
        <f t="shared" si="10"/>
        <v>44592</v>
      </c>
      <c r="U76" s="54">
        <f t="shared" si="11"/>
        <v>44628</v>
      </c>
    </row>
    <row r="77" spans="1:21">
      <c r="A77" t="s">
        <v>128</v>
      </c>
      <c r="B77" t="s">
        <v>35</v>
      </c>
      <c r="C77" t="s">
        <v>36</v>
      </c>
      <c r="D77" t="s">
        <v>33</v>
      </c>
      <c r="E77" t="s">
        <v>18</v>
      </c>
      <c r="F77" s="11">
        <v>44614</v>
      </c>
      <c r="G77" s="11">
        <v>44620</v>
      </c>
      <c r="J77" s="3">
        <v>26.73</v>
      </c>
      <c r="K77" s="3" t="s">
        <v>198</v>
      </c>
      <c r="L77" s="7">
        <f>VLOOKUP(B77,'CUSTO ATIVIDADE'!$A$1:$B$30,2,0)</f>
        <v>2550.8020330415566</v>
      </c>
      <c r="M77" s="10">
        <f t="shared" si="12"/>
        <v>68182.938343200804</v>
      </c>
      <c r="N77" s="3">
        <f>VLOOKUP(F77,SEMANAS!$B$1:$C$301,2,0)</f>
        <v>14</v>
      </c>
      <c r="O77" s="3">
        <f>VLOOKUP(G77,SEMANAS!$B$1:$C$301,2,0)</f>
        <v>15</v>
      </c>
      <c r="P77" s="52">
        <f>VLOOKUP(B77,'MT-MO'!$A$3:$C$31,2,0)</f>
        <v>0.38396280966583479</v>
      </c>
      <c r="Q77" s="52">
        <f>VLOOKUP(B77,'MT-MO'!$A$3:$C$31,3,0)</f>
        <v>0.61603719033416515</v>
      </c>
      <c r="R77" s="53">
        <f t="shared" si="8"/>
        <v>26179.71257752776</v>
      </c>
      <c r="S77" s="53">
        <f t="shared" si="9"/>
        <v>42003.225765673043</v>
      </c>
      <c r="T77" s="54">
        <f t="shared" si="10"/>
        <v>44599</v>
      </c>
      <c r="U77" s="54">
        <f t="shared" si="11"/>
        <v>44635</v>
      </c>
    </row>
    <row r="78" spans="1:21">
      <c r="A78" t="s">
        <v>129</v>
      </c>
      <c r="B78" t="s">
        <v>38</v>
      </c>
      <c r="D78" t="s">
        <v>33</v>
      </c>
      <c r="E78" t="s">
        <v>18</v>
      </c>
      <c r="F78" s="11">
        <v>44628</v>
      </c>
      <c r="G78" s="11">
        <v>44634</v>
      </c>
      <c r="J78" s="3">
        <v>1</v>
      </c>
      <c r="K78" s="3" t="s">
        <v>200</v>
      </c>
      <c r="L78" s="7">
        <f>VLOOKUP(B78,'CUSTO ATIVIDADE'!$A$1:$B$30,2,0)</f>
        <v>13455.889210118192</v>
      </c>
      <c r="M78" s="10">
        <f t="shared" si="12"/>
        <v>13455.889210118192</v>
      </c>
      <c r="N78" s="3">
        <f>VLOOKUP(F78,SEMANAS!$B$1:$C$301,2,0)</f>
        <v>16</v>
      </c>
      <c r="O78" s="3">
        <f>VLOOKUP(G78,SEMANAS!$B$1:$C$301,2,0)</f>
        <v>17</v>
      </c>
      <c r="P78" s="52">
        <f>VLOOKUP(B78,'MT-MO'!$A$3:$C$31,2,0)</f>
        <v>0.35672482024413354</v>
      </c>
      <c r="Q78" s="52">
        <f>VLOOKUP(B78,'MT-MO'!$A$3:$C$31,3,0)</f>
        <v>0.64327517975586646</v>
      </c>
      <c r="R78" s="53">
        <f t="shared" si="8"/>
        <v>4800.0496597043884</v>
      </c>
      <c r="S78" s="53">
        <f t="shared" si="9"/>
        <v>8655.8395504138043</v>
      </c>
      <c r="T78" s="54">
        <f t="shared" si="10"/>
        <v>44613</v>
      </c>
      <c r="U78" s="54">
        <f t="shared" si="11"/>
        <v>44649</v>
      </c>
    </row>
    <row r="79" spans="1:21">
      <c r="A79" t="s">
        <v>130</v>
      </c>
      <c r="B79" t="s">
        <v>40</v>
      </c>
      <c r="D79" t="s">
        <v>33</v>
      </c>
      <c r="E79" t="s">
        <v>18</v>
      </c>
      <c r="F79" s="11">
        <v>44642</v>
      </c>
      <c r="G79" s="11">
        <v>44648</v>
      </c>
      <c r="J79" s="3">
        <v>140.59</v>
      </c>
      <c r="K79" s="3" t="s">
        <v>197</v>
      </c>
      <c r="L79" s="7">
        <f>VLOOKUP(B79,'CUSTO ATIVIDADE'!$A$1:$B$30,2,0)</f>
        <v>7</v>
      </c>
      <c r="M79" s="10">
        <f t="shared" si="12"/>
        <v>984.13</v>
      </c>
      <c r="N79" s="3">
        <f>VLOOKUP(F79,SEMANAS!$B$1:$C$301,2,0)</f>
        <v>18</v>
      </c>
      <c r="O79" s="3">
        <f>VLOOKUP(G79,SEMANAS!$B$1:$C$301,2,0)</f>
        <v>19</v>
      </c>
      <c r="P79" s="52">
        <f>VLOOKUP(B79,'MT-MO'!$A$3:$C$31,2,0)</f>
        <v>0.26486813778256191</v>
      </c>
      <c r="Q79" s="52">
        <f>VLOOKUP(B79,'MT-MO'!$A$3:$C$31,3,0)</f>
        <v>0.73513186221743809</v>
      </c>
      <c r="R79" s="53">
        <f t="shared" si="8"/>
        <v>260.66468043595268</v>
      </c>
      <c r="S79" s="53">
        <f t="shared" si="9"/>
        <v>723.46531956404738</v>
      </c>
      <c r="T79" s="54">
        <f t="shared" si="10"/>
        <v>44627</v>
      </c>
      <c r="U79" s="54">
        <f t="shared" si="11"/>
        <v>44663</v>
      </c>
    </row>
    <row r="80" spans="1:21">
      <c r="A80" t="s">
        <v>131</v>
      </c>
      <c r="B80" t="s">
        <v>42</v>
      </c>
      <c r="D80" t="s">
        <v>33</v>
      </c>
      <c r="E80" t="s">
        <v>43</v>
      </c>
      <c r="F80" s="11">
        <v>44658</v>
      </c>
      <c r="G80" s="11">
        <v>44662</v>
      </c>
      <c r="J80" s="3">
        <v>10.69</v>
      </c>
      <c r="K80" s="3" t="s">
        <v>197</v>
      </c>
      <c r="L80" s="7">
        <f>VLOOKUP(B80,'CUSTO ATIVIDADE'!$A$1:$B$30,2,0)</f>
        <v>295.46807160325829</v>
      </c>
      <c r="M80" s="10">
        <f t="shared" si="12"/>
        <v>3158.5536854388311</v>
      </c>
      <c r="N80" s="3">
        <f>VLOOKUP(F80,SEMANAS!$B$1:$C$301,2,0)</f>
        <v>20</v>
      </c>
      <c r="O80" s="3">
        <f>VLOOKUP(G80,SEMANAS!$B$1:$C$301,2,0)</f>
        <v>21</v>
      </c>
      <c r="P80" s="52">
        <f>VLOOKUP(B80,'MT-MO'!$A$3:$C$31,2,0)</f>
        <v>0.62478082992402106</v>
      </c>
      <c r="Q80" s="52">
        <f>VLOOKUP(B80,'MT-MO'!$A$3:$C$31,3,0)</f>
        <v>0.37521917007597894</v>
      </c>
      <c r="R80" s="53">
        <f t="shared" si="8"/>
        <v>1973.4037929480482</v>
      </c>
      <c r="S80" s="53">
        <f t="shared" si="9"/>
        <v>1185.1498924907828</v>
      </c>
      <c r="T80" s="54">
        <f t="shared" si="10"/>
        <v>44643</v>
      </c>
      <c r="U80" s="54">
        <f t="shared" si="11"/>
        <v>44677</v>
      </c>
    </row>
    <row r="81" spans="1:21">
      <c r="A81" t="s">
        <v>132</v>
      </c>
      <c r="B81" t="s">
        <v>45</v>
      </c>
      <c r="D81" t="s">
        <v>33</v>
      </c>
      <c r="E81" t="s">
        <v>18</v>
      </c>
      <c r="F81" s="11">
        <v>44672</v>
      </c>
      <c r="G81" s="11">
        <v>44679</v>
      </c>
      <c r="J81" s="3">
        <v>6.08</v>
      </c>
      <c r="K81" s="3" t="s">
        <v>197</v>
      </c>
      <c r="L81" s="7">
        <f>VLOOKUP(B81,'CUSTO ATIVIDADE'!$A$1:$B$30,2,0)</f>
        <v>39.299999999999997</v>
      </c>
      <c r="M81" s="10">
        <f t="shared" si="12"/>
        <v>238.94399999999999</v>
      </c>
      <c r="N81" s="3">
        <f>VLOOKUP(F81,SEMANAS!$B$1:$C$301,2,0)</f>
        <v>22</v>
      </c>
      <c r="O81" s="3">
        <f>VLOOKUP(G81,SEMANAS!$B$1:$C$301,2,0)</f>
        <v>23</v>
      </c>
      <c r="P81" s="52">
        <f>VLOOKUP(B81,'MT-MO'!$A$3:$C$31,2,0)</f>
        <v>0.45815899581589958</v>
      </c>
      <c r="Q81" s="52">
        <f>VLOOKUP(B81,'MT-MO'!$A$3:$C$31,3,0)</f>
        <v>0.54184100418410042</v>
      </c>
      <c r="R81" s="53">
        <f t="shared" si="8"/>
        <v>109.47434309623431</v>
      </c>
      <c r="S81" s="53">
        <f t="shared" si="9"/>
        <v>129.4696569037657</v>
      </c>
      <c r="T81" s="54">
        <f t="shared" si="10"/>
        <v>44657</v>
      </c>
      <c r="U81" s="54">
        <f t="shared" si="11"/>
        <v>44694</v>
      </c>
    </row>
    <row r="82" spans="1:21">
      <c r="A82" t="s">
        <v>133</v>
      </c>
      <c r="B82" t="s">
        <v>47</v>
      </c>
      <c r="D82" t="s">
        <v>33</v>
      </c>
      <c r="E82" t="s">
        <v>18</v>
      </c>
      <c r="F82" s="11">
        <v>44686</v>
      </c>
      <c r="G82" s="11">
        <v>44693</v>
      </c>
      <c r="J82" s="3">
        <v>86.26</v>
      </c>
      <c r="K82" s="3" t="s">
        <v>197</v>
      </c>
      <c r="L82" s="7">
        <f>VLOOKUP(B82,'CUSTO ATIVIDADE'!$A$1:$B$30,2,0)</f>
        <v>236.90944856477213</v>
      </c>
      <c r="M82" s="10">
        <f t="shared" si="12"/>
        <v>20435.809033197245</v>
      </c>
      <c r="N82" s="3">
        <f>VLOOKUP(F82,SEMANAS!$B$1:$C$301,2,0)</f>
        <v>24</v>
      </c>
      <c r="O82" s="3">
        <f>VLOOKUP(G82,SEMANAS!$B$1:$C$301,2,0)</f>
        <v>25</v>
      </c>
      <c r="P82" s="52">
        <f>VLOOKUP(B82,'MT-MO'!$A$3:$C$31,2,0)</f>
        <v>0.57761004134961225</v>
      </c>
      <c r="Q82" s="52">
        <f>VLOOKUP(B82,'MT-MO'!$A$3:$C$31,3,0)</f>
        <v>0.42238995865038781</v>
      </c>
      <c r="R82" s="53">
        <f t="shared" si="8"/>
        <v>11803.928500677841</v>
      </c>
      <c r="S82" s="53">
        <f t="shared" si="9"/>
        <v>8631.8805325194062</v>
      </c>
      <c r="T82" s="54">
        <f t="shared" si="10"/>
        <v>44671</v>
      </c>
      <c r="U82" s="54">
        <f t="shared" si="11"/>
        <v>44708</v>
      </c>
    </row>
    <row r="83" spans="1:21">
      <c r="A83" t="s">
        <v>134</v>
      </c>
      <c r="B83" t="s">
        <v>49</v>
      </c>
      <c r="D83" t="s">
        <v>33</v>
      </c>
      <c r="E83" t="s">
        <v>18</v>
      </c>
      <c r="F83" s="11">
        <v>44700</v>
      </c>
      <c r="G83" s="11">
        <v>44707</v>
      </c>
      <c r="J83" s="3">
        <v>447.45</v>
      </c>
      <c r="K83" s="3" t="s">
        <v>197</v>
      </c>
      <c r="L83" s="7">
        <f>VLOOKUP(B83,'CUSTO ATIVIDADE'!$A$1:$B$30,2,0)</f>
        <v>15.222400000000006</v>
      </c>
      <c r="M83" s="10">
        <f t="shared" si="12"/>
        <v>6811.262880000002</v>
      </c>
      <c r="N83" s="3">
        <f>VLOOKUP(F83,SEMANAS!$B$1:$C$301,2,0)</f>
        <v>26</v>
      </c>
      <c r="O83" s="3">
        <f>VLOOKUP(G83,SEMANAS!$B$1:$C$301,2,0)</f>
        <v>27</v>
      </c>
      <c r="P83" s="52">
        <f>VLOOKUP(B83,'MT-MO'!$A$3:$C$31,2,0)</f>
        <v>0.45986419526518629</v>
      </c>
      <c r="Q83" s="52">
        <f>VLOOKUP(B83,'MT-MO'!$A$3:$C$31,3,0)</f>
        <v>0.54013580473481371</v>
      </c>
      <c r="R83" s="53">
        <f t="shared" si="8"/>
        <v>3132.2559230508359</v>
      </c>
      <c r="S83" s="53">
        <f t="shared" si="9"/>
        <v>3679.0069569491661</v>
      </c>
      <c r="T83" s="54">
        <f t="shared" si="10"/>
        <v>44685</v>
      </c>
      <c r="U83" s="54">
        <f t="shared" si="11"/>
        <v>44722</v>
      </c>
    </row>
    <row r="84" spans="1:21">
      <c r="A84" t="s">
        <v>135</v>
      </c>
      <c r="B84" t="s">
        <v>51</v>
      </c>
      <c r="D84" t="s">
        <v>33</v>
      </c>
      <c r="E84" t="s">
        <v>18</v>
      </c>
      <c r="F84" s="11">
        <v>44721</v>
      </c>
      <c r="G84" s="11">
        <v>44728</v>
      </c>
      <c r="J84" s="3">
        <v>21</v>
      </c>
      <c r="K84" s="3" t="s">
        <v>201</v>
      </c>
      <c r="L84" s="7">
        <f>VLOOKUP(B84,'CUSTO ATIVIDADE'!$A$1:$B$30,2,0)</f>
        <v>1261.9047619047619</v>
      </c>
      <c r="M84" s="10">
        <f t="shared" si="12"/>
        <v>26500</v>
      </c>
      <c r="N84" s="3">
        <f>VLOOKUP(F84,SEMANAS!$B$1:$C$301,2,0)</f>
        <v>29</v>
      </c>
      <c r="O84" s="3">
        <f>VLOOKUP(G84,SEMANAS!$B$1:$C$301,2,0)</f>
        <v>30</v>
      </c>
      <c r="P84" s="52">
        <f>VLOOKUP(B84,'MT-MO'!$A$3:$C$31,2,0)</f>
        <v>0.19811320754716982</v>
      </c>
      <c r="Q84" s="52">
        <f>VLOOKUP(B84,'MT-MO'!$A$3:$C$31,3,0)</f>
        <v>0.80188679245283023</v>
      </c>
      <c r="R84" s="53">
        <f t="shared" si="8"/>
        <v>5250</v>
      </c>
      <c r="S84" s="53">
        <f t="shared" si="9"/>
        <v>21250</v>
      </c>
      <c r="T84" s="54">
        <f t="shared" si="10"/>
        <v>44706</v>
      </c>
      <c r="U84" s="54">
        <f t="shared" si="11"/>
        <v>44743</v>
      </c>
    </row>
    <row r="85" spans="1:21">
      <c r="A85" t="s">
        <v>136</v>
      </c>
      <c r="B85" t="s">
        <v>53</v>
      </c>
      <c r="D85" t="s">
        <v>33</v>
      </c>
      <c r="E85" t="s">
        <v>18</v>
      </c>
      <c r="F85" s="11">
        <v>44728</v>
      </c>
      <c r="G85" s="11">
        <v>44735</v>
      </c>
      <c r="J85" s="3">
        <v>4</v>
      </c>
      <c r="K85" s="3" t="s">
        <v>202</v>
      </c>
      <c r="L85" s="7">
        <f>VLOOKUP(B85,'CUSTO ATIVIDADE'!$A$1:$B$30,2,0)</f>
        <v>1283.6297966501836</v>
      </c>
      <c r="M85" s="10">
        <f t="shared" si="12"/>
        <v>5134.5191866007344</v>
      </c>
      <c r="N85" s="3">
        <f>VLOOKUP(F85,SEMANAS!$B$1:$C$301,2,0)</f>
        <v>30</v>
      </c>
      <c r="O85" s="3">
        <f>VLOOKUP(G85,SEMANAS!$B$1:$C$301,2,0)</f>
        <v>31</v>
      </c>
      <c r="P85" s="52">
        <f>VLOOKUP(B85,'MT-MO'!$A$3:$C$31,2,0)</f>
        <v>0.62323497906319991</v>
      </c>
      <c r="Q85" s="52">
        <f>VLOOKUP(B85,'MT-MO'!$A$3:$C$31,3,0)</f>
        <v>0.37676502093680009</v>
      </c>
      <c r="R85" s="53">
        <f t="shared" si="8"/>
        <v>3200.011957760707</v>
      </c>
      <c r="S85" s="53">
        <f t="shared" si="9"/>
        <v>1934.5072288400274</v>
      </c>
      <c r="T85" s="54">
        <f t="shared" si="10"/>
        <v>44713</v>
      </c>
      <c r="U85" s="54">
        <f t="shared" si="11"/>
        <v>44750</v>
      </c>
    </row>
    <row r="86" spans="1:21">
      <c r="A86" t="s">
        <v>137</v>
      </c>
      <c r="B86" t="s">
        <v>55</v>
      </c>
      <c r="D86" t="s">
        <v>33</v>
      </c>
      <c r="E86" t="s">
        <v>18</v>
      </c>
      <c r="F86" s="11">
        <v>44742</v>
      </c>
      <c r="G86" s="11">
        <v>44749</v>
      </c>
      <c r="J86" s="3">
        <v>29.29</v>
      </c>
      <c r="K86" s="3" t="s">
        <v>197</v>
      </c>
      <c r="L86" s="7">
        <f>VLOOKUP(B86,'CUSTO ATIVIDADE'!$A$1:$B$30,2,0)</f>
        <v>78.445334999999986</v>
      </c>
      <c r="M86" s="10">
        <f t="shared" si="12"/>
        <v>2297.6638621499997</v>
      </c>
      <c r="N86" s="3">
        <f>VLOOKUP(F86,SEMANAS!$B$1:$C$301,2,0)</f>
        <v>32</v>
      </c>
      <c r="O86" s="3">
        <f>VLOOKUP(G86,SEMANAS!$B$1:$C$301,2,0)</f>
        <v>33</v>
      </c>
      <c r="P86" s="52">
        <f>VLOOKUP(B86,'MT-MO'!$A$3:$C$31,2,0)</f>
        <v>0.31868131868131866</v>
      </c>
      <c r="Q86" s="52">
        <f>VLOOKUP(B86,'MT-MO'!$A$3:$C$31,3,0)</f>
        <v>0.68131868131868134</v>
      </c>
      <c r="R86" s="53">
        <f t="shared" si="8"/>
        <v>732.2225494763735</v>
      </c>
      <c r="S86" s="53">
        <f t="shared" si="9"/>
        <v>1565.4413126736263</v>
      </c>
      <c r="T86" s="54">
        <f t="shared" si="10"/>
        <v>44727</v>
      </c>
      <c r="U86" s="54">
        <f t="shared" si="11"/>
        <v>44764</v>
      </c>
    </row>
    <row r="87" spans="1:21">
      <c r="A87" t="s">
        <v>138</v>
      </c>
      <c r="B87" t="s">
        <v>57</v>
      </c>
      <c r="D87" t="s">
        <v>33</v>
      </c>
      <c r="E87" t="s">
        <v>43</v>
      </c>
      <c r="F87" s="11">
        <v>44749</v>
      </c>
      <c r="G87" s="11">
        <v>44753</v>
      </c>
      <c r="J87" s="3">
        <v>4</v>
      </c>
      <c r="K87" s="3" t="s">
        <v>202</v>
      </c>
      <c r="L87" s="7">
        <f>VLOOKUP(B87,'CUSTO ATIVIDADE'!$A$1:$B$30,2,0)</f>
        <v>350</v>
      </c>
      <c r="M87" s="10">
        <f t="shared" si="12"/>
        <v>1400</v>
      </c>
      <c r="N87" s="3">
        <f>VLOOKUP(F87,SEMANAS!$B$1:$C$301,2,0)</f>
        <v>33</v>
      </c>
      <c r="O87" s="3">
        <f>VLOOKUP(G87,SEMANAS!$B$1:$C$301,2,0)</f>
        <v>34</v>
      </c>
      <c r="P87" s="52">
        <f>VLOOKUP(B87,'MT-MO'!$A$3:$C$31,2,0)</f>
        <v>1</v>
      </c>
      <c r="Q87" s="52">
        <f>VLOOKUP(B87,'MT-MO'!$A$3:$C$31,3,0)</f>
        <v>0</v>
      </c>
      <c r="R87" s="53">
        <f t="shared" si="8"/>
        <v>1400</v>
      </c>
      <c r="S87" s="53">
        <f t="shared" si="9"/>
        <v>0</v>
      </c>
      <c r="T87" s="54">
        <f t="shared" si="10"/>
        <v>44734</v>
      </c>
      <c r="U87" s="54">
        <f t="shared" si="11"/>
        <v>44768</v>
      </c>
    </row>
    <row r="88" spans="1:21">
      <c r="A88" t="s">
        <v>139</v>
      </c>
      <c r="B88" t="s">
        <v>59</v>
      </c>
      <c r="C88" t="s">
        <v>36</v>
      </c>
      <c r="D88" t="s">
        <v>33</v>
      </c>
      <c r="E88" t="s">
        <v>18</v>
      </c>
      <c r="F88" s="11">
        <v>44749</v>
      </c>
      <c r="G88" s="11">
        <v>44756</v>
      </c>
      <c r="J88" s="3">
        <v>22.5</v>
      </c>
      <c r="K88" s="3" t="s">
        <v>197</v>
      </c>
      <c r="L88" s="7">
        <f>VLOOKUP(B88,'CUSTO ATIVIDADE'!$A$1:$B$30,2,0)</f>
        <v>160.77478755454416</v>
      </c>
      <c r="M88" s="10">
        <f t="shared" si="12"/>
        <v>3617.4327199772438</v>
      </c>
      <c r="N88" s="3">
        <f>VLOOKUP(F88,SEMANAS!$B$1:$C$301,2,0)</f>
        <v>33</v>
      </c>
      <c r="O88" s="3">
        <f>VLOOKUP(G88,SEMANAS!$B$1:$C$301,2,0)</f>
        <v>34</v>
      </c>
      <c r="P88" s="52">
        <f>VLOOKUP(B88,'MT-MO'!$A$3:$C$31,2,0)</f>
        <v>0.28742225293711127</v>
      </c>
      <c r="Q88" s="52">
        <f>VLOOKUP(B88,'MT-MO'!$A$3:$C$31,3,0)</f>
        <v>0.71257774706288879</v>
      </c>
      <c r="R88" s="53">
        <f t="shared" si="8"/>
        <v>1039.7306622242818</v>
      </c>
      <c r="S88" s="53">
        <f t="shared" si="9"/>
        <v>2577.7020577529624</v>
      </c>
      <c r="T88" s="54">
        <f t="shared" si="10"/>
        <v>44734</v>
      </c>
      <c r="U88" s="54">
        <f t="shared" si="11"/>
        <v>44771</v>
      </c>
    </row>
    <row r="89" spans="1:21">
      <c r="A89" t="s">
        <v>140</v>
      </c>
      <c r="B89" t="s">
        <v>61</v>
      </c>
      <c r="D89" t="s">
        <v>33</v>
      </c>
      <c r="E89" t="s">
        <v>18</v>
      </c>
      <c r="F89" s="11">
        <v>44756</v>
      </c>
      <c r="G89" s="11">
        <v>44763</v>
      </c>
      <c r="J89" s="3">
        <v>476.74</v>
      </c>
      <c r="K89" s="3" t="s">
        <v>197</v>
      </c>
      <c r="L89" s="7">
        <f>VLOOKUP(B89,'CUSTO ATIVIDADE'!$A$1:$B$30,2,0)</f>
        <v>31.043507801912533</v>
      </c>
      <c r="M89" s="10">
        <f t="shared" si="12"/>
        <v>14799.681909483781</v>
      </c>
      <c r="N89" s="3">
        <f>VLOOKUP(F89,SEMANAS!$B$1:$C$301,2,0)</f>
        <v>34</v>
      </c>
      <c r="O89" s="3">
        <f>VLOOKUP(G89,SEMANAS!$B$1:$C$301,2,0)</f>
        <v>35</v>
      </c>
      <c r="P89" s="52">
        <f>VLOOKUP(B89,'MT-MO'!$A$3:$C$31,2,0)</f>
        <v>0.52623399439170238</v>
      </c>
      <c r="Q89" s="52">
        <f>VLOOKUP(B89,'MT-MO'!$A$3:$C$31,3,0)</f>
        <v>0.47376600560829757</v>
      </c>
      <c r="R89" s="53">
        <f t="shared" si="8"/>
        <v>7788.0957269542669</v>
      </c>
      <c r="S89" s="53">
        <f t="shared" si="9"/>
        <v>7011.5861825295133</v>
      </c>
      <c r="T89" s="54">
        <f t="shared" si="10"/>
        <v>44741</v>
      </c>
      <c r="U89" s="54">
        <f t="shared" si="11"/>
        <v>44778</v>
      </c>
    </row>
    <row r="90" spans="1:21">
      <c r="A90" t="s">
        <v>141</v>
      </c>
      <c r="B90" t="s">
        <v>63</v>
      </c>
      <c r="C90" t="s">
        <v>36</v>
      </c>
      <c r="D90" t="s">
        <v>33</v>
      </c>
      <c r="E90" t="s">
        <v>43</v>
      </c>
      <c r="F90" s="11">
        <v>44763</v>
      </c>
      <c r="G90" s="11">
        <v>44767</v>
      </c>
      <c r="J90" s="3">
        <v>16</v>
      </c>
      <c r="K90" s="3" t="s">
        <v>201</v>
      </c>
      <c r="L90" s="7">
        <f>VLOOKUP(B90,'CUSTO ATIVIDADE'!$A$1:$B$30,2,0)</f>
        <v>327.25146699999999</v>
      </c>
      <c r="M90" s="10">
        <f t="shared" si="12"/>
        <v>5236.0234719999999</v>
      </c>
      <c r="N90" s="3">
        <f>VLOOKUP(F90,SEMANAS!$B$1:$C$301,2,0)</f>
        <v>35</v>
      </c>
      <c r="O90" s="3">
        <f>VLOOKUP(G90,SEMANAS!$B$1:$C$301,2,0)</f>
        <v>36</v>
      </c>
      <c r="P90" s="52">
        <f>VLOOKUP(B90,'MT-MO'!$A$3:$C$31,2,0)</f>
        <v>0.15279568352194051</v>
      </c>
      <c r="Q90" s="52">
        <f>VLOOKUP(B90,'MT-MO'!$A$3:$C$31,3,0)</f>
        <v>0.84720431647805949</v>
      </c>
      <c r="R90" s="53">
        <f t="shared" si="8"/>
        <v>800.04178534116409</v>
      </c>
      <c r="S90" s="53">
        <f t="shared" si="9"/>
        <v>4435.9816866588353</v>
      </c>
      <c r="T90" s="54">
        <f t="shared" si="10"/>
        <v>44748</v>
      </c>
      <c r="U90" s="54">
        <f t="shared" si="11"/>
        <v>44782</v>
      </c>
    </row>
    <row r="91" spans="1:21">
      <c r="A91" t="s">
        <v>142</v>
      </c>
      <c r="B91" t="s">
        <v>65</v>
      </c>
      <c r="C91" t="s">
        <v>36</v>
      </c>
      <c r="D91" t="s">
        <v>33</v>
      </c>
      <c r="E91" t="s">
        <v>43</v>
      </c>
      <c r="F91" s="11">
        <v>44768</v>
      </c>
      <c r="G91" s="11">
        <v>44770</v>
      </c>
      <c r="J91" s="3">
        <v>20</v>
      </c>
      <c r="K91" s="3" t="s">
        <v>201</v>
      </c>
      <c r="L91" s="7">
        <f>VLOOKUP(B91,'CUSTO ATIVIDADE'!$A$1:$B$30,2,0)</f>
        <v>520</v>
      </c>
      <c r="M91" s="10">
        <f t="shared" si="12"/>
        <v>10400</v>
      </c>
      <c r="N91" s="3">
        <f>VLOOKUP(F91,SEMANAS!$B$1:$C$301,2,0)</f>
        <v>36</v>
      </c>
      <c r="O91" s="3">
        <f>VLOOKUP(G91,SEMANAS!$B$1:$C$301,2,0)</f>
        <v>36</v>
      </c>
      <c r="P91" s="52">
        <f>VLOOKUP(B91,'MT-MO'!$A$3:$C$31,2,0)</f>
        <v>0.15384615384615385</v>
      </c>
      <c r="Q91" s="52">
        <f>VLOOKUP(B91,'MT-MO'!$A$3:$C$31,3,0)</f>
        <v>0.84615384615384615</v>
      </c>
      <c r="R91" s="53">
        <f t="shared" si="8"/>
        <v>1600</v>
      </c>
      <c r="S91" s="53">
        <f t="shared" si="9"/>
        <v>8800</v>
      </c>
      <c r="T91" s="54">
        <f t="shared" si="10"/>
        <v>44753</v>
      </c>
      <c r="U91" s="54">
        <f t="shared" si="11"/>
        <v>44785</v>
      </c>
    </row>
    <row r="92" spans="1:21">
      <c r="A92" t="s">
        <v>143</v>
      </c>
      <c r="B92" t="s">
        <v>67</v>
      </c>
      <c r="D92" t="s">
        <v>33</v>
      </c>
      <c r="E92" t="s">
        <v>18</v>
      </c>
      <c r="F92" s="11">
        <v>44782</v>
      </c>
      <c r="G92" s="11">
        <v>44788</v>
      </c>
      <c r="J92" s="3">
        <v>80.88</v>
      </c>
      <c r="K92" s="3" t="s">
        <v>197</v>
      </c>
      <c r="L92" s="7">
        <f>VLOOKUP(B92,'CUSTO ATIVIDADE'!$A$1:$B$30,2,0)</f>
        <v>162.85785630043145</v>
      </c>
      <c r="M92" s="10">
        <f t="shared" si="12"/>
        <v>13171.943417578896</v>
      </c>
      <c r="N92" s="3">
        <f>VLOOKUP(F92,SEMANAS!$B$1:$C$301,2,0)</f>
        <v>38</v>
      </c>
      <c r="O92" s="3">
        <f>VLOOKUP(G92,SEMANAS!$B$1:$C$301,2,0)</f>
        <v>39</v>
      </c>
      <c r="P92" s="52">
        <f>VLOOKUP(B92,'MT-MO'!$A$3:$C$31,2,0)</f>
        <v>0.15351618107620765</v>
      </c>
      <c r="Q92" s="52">
        <f>VLOOKUP(B92,'MT-MO'!$A$3:$C$31,3,0)</f>
        <v>0.84648381892379232</v>
      </c>
      <c r="R92" s="53">
        <f t="shared" si="8"/>
        <v>2022.1064508186032</v>
      </c>
      <c r="S92" s="53">
        <f t="shared" si="9"/>
        <v>11149.836966760293</v>
      </c>
      <c r="T92" s="54">
        <f t="shared" si="10"/>
        <v>44767</v>
      </c>
      <c r="U92" s="54">
        <f t="shared" si="11"/>
        <v>44803</v>
      </c>
    </row>
    <row r="93" spans="1:21">
      <c r="A93" t="s">
        <v>144</v>
      </c>
      <c r="B93" t="s">
        <v>69</v>
      </c>
      <c r="D93" t="s">
        <v>33</v>
      </c>
      <c r="E93" t="s">
        <v>43</v>
      </c>
      <c r="F93" s="11">
        <v>44789</v>
      </c>
      <c r="G93" s="11">
        <v>44791</v>
      </c>
      <c r="J93" s="3">
        <v>12</v>
      </c>
      <c r="K93" s="3" t="s">
        <v>201</v>
      </c>
      <c r="L93" s="7">
        <f>VLOOKUP(B93,'CUSTO ATIVIDADE'!$A$1:$B$30,2,0)</f>
        <v>111.67</v>
      </c>
      <c r="M93" s="10">
        <f t="shared" si="12"/>
        <v>1340.04</v>
      </c>
      <c r="N93" s="3">
        <f>VLOOKUP(F93,SEMANAS!$B$1:$C$301,2,0)</f>
        <v>39</v>
      </c>
      <c r="O93" s="3">
        <f>VLOOKUP(G93,SEMANAS!$B$1:$C$301,2,0)</f>
        <v>39</v>
      </c>
      <c r="P93" s="52">
        <f>VLOOKUP(B93,'MT-MO'!$A$3:$C$31,2,0)</f>
        <v>0.44776119402985076</v>
      </c>
      <c r="Q93" s="52">
        <f>VLOOKUP(B93,'MT-MO'!$A$3:$C$31,3,0)</f>
        <v>0.55223880597014929</v>
      </c>
      <c r="R93" s="53">
        <f t="shared" si="8"/>
        <v>600.01791044776121</v>
      </c>
      <c r="S93" s="53">
        <f t="shared" si="9"/>
        <v>740.02208955223887</v>
      </c>
      <c r="T93" s="54">
        <f t="shared" si="10"/>
        <v>44774</v>
      </c>
      <c r="U93" s="54">
        <f t="shared" si="11"/>
        <v>44806</v>
      </c>
    </row>
    <row r="94" spans="1:21">
      <c r="A94" t="s">
        <v>145</v>
      </c>
      <c r="B94" t="s">
        <v>71</v>
      </c>
      <c r="D94" t="s">
        <v>33</v>
      </c>
      <c r="E94" t="s">
        <v>43</v>
      </c>
      <c r="F94" s="11">
        <v>44789</v>
      </c>
      <c r="G94" s="11">
        <v>44791</v>
      </c>
      <c r="J94" s="9">
        <v>4</v>
      </c>
      <c r="K94" s="3" t="s">
        <v>202</v>
      </c>
      <c r="L94" s="7">
        <f>VLOOKUP(B94,'CUSTO ATIVIDADE'!$A$1:$B$30,2,0)</f>
        <v>513.50426281564182</v>
      </c>
      <c r="M94" s="10">
        <f t="shared" si="12"/>
        <v>2054.0170512625673</v>
      </c>
      <c r="N94" s="3">
        <f>VLOOKUP(F94,SEMANAS!$B$1:$C$301,2,0)</f>
        <v>39</v>
      </c>
      <c r="O94" s="3">
        <f>VLOOKUP(G94,SEMANAS!$B$1:$C$301,2,0)</f>
        <v>39</v>
      </c>
      <c r="P94" s="52">
        <f>VLOOKUP(B94,'MT-MO'!$A$3:$C$32,2,0)</f>
        <v>0.45</v>
      </c>
      <c r="Q94" s="52">
        <f>VLOOKUP(B94,'MT-MO'!$A$3:$C$32,3,0)</f>
        <v>0.55000000000000004</v>
      </c>
      <c r="R94" s="53">
        <f t="shared" si="8"/>
        <v>924.30767306815528</v>
      </c>
      <c r="S94" s="53">
        <f t="shared" si="9"/>
        <v>1129.709378194412</v>
      </c>
      <c r="T94" s="54">
        <f t="shared" si="10"/>
        <v>44774</v>
      </c>
      <c r="U94" s="54">
        <f t="shared" si="11"/>
        <v>44806</v>
      </c>
    </row>
    <row r="95" spans="1:21">
      <c r="A95" t="s">
        <v>146</v>
      </c>
      <c r="B95" t="s">
        <v>73</v>
      </c>
      <c r="D95" t="s">
        <v>33</v>
      </c>
      <c r="E95" t="s">
        <v>18</v>
      </c>
      <c r="F95" s="11">
        <v>44803</v>
      </c>
      <c r="G95" s="11">
        <v>44809</v>
      </c>
      <c r="J95" s="3">
        <v>614.55999999999995</v>
      </c>
      <c r="K95" s="3" t="s">
        <v>197</v>
      </c>
      <c r="L95" s="7">
        <f>VLOOKUP(B95,'CUSTO ATIVIDADE'!$A$1:$B$30,2,0)</f>
        <v>6</v>
      </c>
      <c r="M95" s="10">
        <f t="shared" si="12"/>
        <v>3687.3599999999997</v>
      </c>
      <c r="N95" s="3">
        <f>VLOOKUP(F95,SEMANAS!$B$1:$C$301,2,0)</f>
        <v>41</v>
      </c>
      <c r="O95" s="3">
        <f>VLOOKUP(G95,SEMANAS!$B$1:$C$301,2,0)</f>
        <v>42</v>
      </c>
      <c r="P95" s="52">
        <f>VLOOKUP(B95,'MT-MO'!$A$3:$C$31,2,0)</f>
        <v>1</v>
      </c>
      <c r="Q95" s="52">
        <f>VLOOKUP(B95,'MT-MO'!$A$3:$C$31,3,0)</f>
        <v>0</v>
      </c>
      <c r="R95" s="53">
        <f t="shared" si="8"/>
        <v>3687.3599999999997</v>
      </c>
      <c r="S95" s="53">
        <f t="shared" si="9"/>
        <v>0</v>
      </c>
      <c r="T95" s="54">
        <f t="shared" si="10"/>
        <v>44788</v>
      </c>
      <c r="U95" s="54">
        <f t="shared" si="11"/>
        <v>44824</v>
      </c>
    </row>
    <row r="96" spans="1:21">
      <c r="A96" t="s">
        <v>147</v>
      </c>
      <c r="B96" t="s">
        <v>75</v>
      </c>
      <c r="D96" t="s">
        <v>33</v>
      </c>
      <c r="E96" t="s">
        <v>43</v>
      </c>
      <c r="F96" s="11">
        <v>44810</v>
      </c>
      <c r="G96" s="11">
        <v>44813</v>
      </c>
      <c r="J96" s="3">
        <v>0.25</v>
      </c>
      <c r="K96" s="3" t="s">
        <v>199</v>
      </c>
      <c r="L96" s="7">
        <f>VLOOKUP(B96,'CUSTO ATIVIDADE'!$A$1:$B$30,2,0)</f>
        <v>2000</v>
      </c>
      <c r="M96" s="10">
        <f t="shared" si="12"/>
        <v>500</v>
      </c>
      <c r="N96" s="3">
        <f>VLOOKUP(F96,SEMANAS!$B$1:$C$301,2,0)</f>
        <v>42</v>
      </c>
      <c r="O96" s="3">
        <f>VLOOKUP(G96,SEMANAS!$B$1:$C$301,2,0)</f>
        <v>42</v>
      </c>
      <c r="P96" s="52">
        <f>VLOOKUP(B96,'MT-MO'!$A$3:$C$31,2,0)</f>
        <v>1</v>
      </c>
      <c r="Q96" s="52">
        <f>VLOOKUP(B96,'MT-MO'!$A$3:$C$31,3,0)</f>
        <v>0</v>
      </c>
      <c r="R96" s="53">
        <f t="shared" si="8"/>
        <v>500</v>
      </c>
      <c r="S96" s="53">
        <f t="shared" si="9"/>
        <v>0</v>
      </c>
      <c r="T96" s="54">
        <f t="shared" si="10"/>
        <v>44795</v>
      </c>
      <c r="U96" s="54">
        <f t="shared" si="11"/>
        <v>44828</v>
      </c>
    </row>
    <row r="97" spans="1:21">
      <c r="A97" t="s">
        <v>148</v>
      </c>
      <c r="B97" t="s">
        <v>149</v>
      </c>
      <c r="E97" t="s">
        <v>150</v>
      </c>
      <c r="F97" s="11">
        <v>44621</v>
      </c>
      <c r="G97" s="11">
        <v>44676</v>
      </c>
      <c r="J97" s="3" t="s">
        <v>11</v>
      </c>
      <c r="N97" s="3">
        <f>VLOOKUP(F97,SEMANAS!$B$1:$C$301,2,0)</f>
        <v>15</v>
      </c>
      <c r="O97" s="3">
        <f>VLOOKUP(G97,SEMANAS!$B$1:$C$301,2,0)</f>
        <v>23</v>
      </c>
      <c r="R97" s="53">
        <f t="shared" si="8"/>
        <v>0</v>
      </c>
      <c r="S97" s="53">
        <f t="shared" si="9"/>
        <v>0</v>
      </c>
      <c r="T97" s="54">
        <f t="shared" si="10"/>
        <v>44606</v>
      </c>
      <c r="U97" s="54">
        <f t="shared" si="11"/>
        <v>44691</v>
      </c>
    </row>
    <row r="98" spans="1:21">
      <c r="A98" t="s">
        <v>151</v>
      </c>
      <c r="B98" t="s">
        <v>32</v>
      </c>
      <c r="D98" t="s">
        <v>152</v>
      </c>
      <c r="E98" t="s">
        <v>18</v>
      </c>
      <c r="F98" s="11">
        <v>44621</v>
      </c>
      <c r="G98" s="11">
        <v>44627</v>
      </c>
      <c r="J98" s="3">
        <v>81.7</v>
      </c>
      <c r="K98" s="3" t="s">
        <v>197</v>
      </c>
      <c r="L98" s="7">
        <f>VLOOKUP(B98,'CUSTO ATIVIDADE'!$A$1:$B$30,2,0)</f>
        <v>247.89395397660905</v>
      </c>
      <c r="M98" s="10">
        <f t="shared" ref="M98:M101" si="13">L98*J98</f>
        <v>20252.936039888962</v>
      </c>
      <c r="N98" s="3">
        <f>VLOOKUP(F98,SEMANAS!$B$1:$C$301,2,0)</f>
        <v>15</v>
      </c>
      <c r="O98" s="3">
        <f>VLOOKUP(G98,SEMANAS!$B$1:$C$301,2,0)</f>
        <v>16</v>
      </c>
      <c r="P98" s="52">
        <f>VLOOKUP(B98,'MT-MO'!$A$3:$C$31,2,0)</f>
        <v>0.13858702989570013</v>
      </c>
      <c r="Q98" s="52">
        <f>VLOOKUP(B98,'MT-MO'!$A$3:$C$31,3,0)</f>
        <v>0.86141297010429985</v>
      </c>
      <c r="R98" s="53">
        <f t="shared" si="8"/>
        <v>2806.7942524357941</v>
      </c>
      <c r="S98" s="53">
        <f t="shared" si="9"/>
        <v>17446.141787453169</v>
      </c>
      <c r="T98" s="54">
        <f t="shared" si="10"/>
        <v>44606</v>
      </c>
      <c r="U98" s="54">
        <f t="shared" si="11"/>
        <v>44642</v>
      </c>
    </row>
    <row r="99" spans="1:21">
      <c r="A99" t="s">
        <v>153</v>
      </c>
      <c r="B99" t="s">
        <v>38</v>
      </c>
      <c r="D99" t="s">
        <v>152</v>
      </c>
      <c r="E99" t="s">
        <v>18</v>
      </c>
      <c r="F99" s="11">
        <v>44635</v>
      </c>
      <c r="G99" s="11">
        <v>44641</v>
      </c>
      <c r="J99" s="3"/>
      <c r="L99" s="7">
        <f>VLOOKUP(B99,'CUSTO ATIVIDADE'!$A$1:$B$30,2,0)</f>
        <v>13455.889210118192</v>
      </c>
      <c r="M99" s="10">
        <f t="shared" si="13"/>
        <v>0</v>
      </c>
      <c r="N99" s="3">
        <f>VLOOKUP(F99,SEMANAS!$B$1:$C$301,2,0)</f>
        <v>17</v>
      </c>
      <c r="O99" s="3">
        <f>VLOOKUP(G99,SEMANAS!$B$1:$C$301,2,0)</f>
        <v>18</v>
      </c>
      <c r="P99" s="52">
        <f>VLOOKUP(B99,'MT-MO'!$A$3:$C$31,2,0)</f>
        <v>0.35672482024413354</v>
      </c>
      <c r="Q99" s="52">
        <f>VLOOKUP(B99,'MT-MO'!$A$3:$C$31,3,0)</f>
        <v>0.64327517975586646</v>
      </c>
      <c r="R99" s="53">
        <f t="shared" si="8"/>
        <v>0</v>
      </c>
      <c r="S99" s="53">
        <f t="shared" si="9"/>
        <v>0</v>
      </c>
      <c r="T99" s="54">
        <f t="shared" si="10"/>
        <v>44620</v>
      </c>
      <c r="U99" s="54">
        <f t="shared" si="11"/>
        <v>44656</v>
      </c>
    </row>
    <row r="100" spans="1:21">
      <c r="A100" t="s">
        <v>154</v>
      </c>
      <c r="B100" t="s">
        <v>155</v>
      </c>
      <c r="D100" t="s">
        <v>152</v>
      </c>
      <c r="E100" t="s">
        <v>18</v>
      </c>
      <c r="F100" s="11">
        <v>44642</v>
      </c>
      <c r="G100" s="11">
        <v>44648</v>
      </c>
      <c r="J100" s="3">
        <v>243.7</v>
      </c>
      <c r="K100" s="3" t="s">
        <v>197</v>
      </c>
      <c r="L100" s="7">
        <f>VLOOKUP(B100,'CUSTO ATIVIDADE'!$A$1:$B$30,2,0)</f>
        <v>209.65947672607118</v>
      </c>
      <c r="M100" s="10">
        <f t="shared" si="13"/>
        <v>51094.014478143545</v>
      </c>
      <c r="N100" s="3">
        <f>VLOOKUP(F100,SEMANAS!$B$1:$C$301,2,0)</f>
        <v>18</v>
      </c>
      <c r="O100" s="3">
        <f>VLOOKUP(G100,SEMANAS!$B$1:$C$301,2,0)</f>
        <v>19</v>
      </c>
      <c r="P100" s="52">
        <f>VLOOKUP(B100,'MT-MO'!$A$3:$C$31,2,0)</f>
        <v>0.48683772728162372</v>
      </c>
      <c r="Q100" s="52">
        <f>VLOOKUP(B100,'MT-MO'!$A$3:$C$31,3,0)</f>
        <v>0.51316227271837633</v>
      </c>
      <c r="R100" s="53">
        <f t="shared" si="8"/>
        <v>24874.49388623378</v>
      </c>
      <c r="S100" s="53">
        <f t="shared" si="9"/>
        <v>26219.520591909768</v>
      </c>
      <c r="T100" s="54">
        <f t="shared" si="10"/>
        <v>44627</v>
      </c>
      <c r="U100" s="54">
        <f t="shared" si="11"/>
        <v>44663</v>
      </c>
    </row>
    <row r="101" spans="1:21">
      <c r="A101" t="s">
        <v>156</v>
      </c>
      <c r="B101" t="s">
        <v>157</v>
      </c>
      <c r="D101" t="s">
        <v>152</v>
      </c>
      <c r="E101" t="s">
        <v>18</v>
      </c>
      <c r="F101" s="11">
        <v>44670</v>
      </c>
      <c r="G101" s="11">
        <v>44676</v>
      </c>
      <c r="J101" s="3">
        <v>75.180000000000007</v>
      </c>
      <c r="K101" s="3" t="s">
        <v>203</v>
      </c>
      <c r="L101" s="7">
        <f>VLOOKUP(B101,'CUSTO ATIVIDADE'!$A$1:$B$30,2,0)</f>
        <v>134.24139437622111</v>
      </c>
      <c r="M101" s="10">
        <f t="shared" si="13"/>
        <v>10092.268029204304</v>
      </c>
      <c r="N101" s="3">
        <f>VLOOKUP(F101,SEMANAS!$B$1:$C$301,2,0)</f>
        <v>22</v>
      </c>
      <c r="O101" s="3">
        <f>VLOOKUP(G101,SEMANAS!$B$1:$C$301,2,0)</f>
        <v>23</v>
      </c>
      <c r="P101" s="52">
        <f>VLOOKUP(B101,'MT-MO'!$A$3:$C$31,2,0)</f>
        <v>0.24772096710265556</v>
      </c>
      <c r="Q101" s="52">
        <f>VLOOKUP(B101,'MT-MO'!$A$3:$C$31,3,0)</f>
        <v>0.75227903289734444</v>
      </c>
      <c r="R101" s="53">
        <f t="shared" si="8"/>
        <v>2500.0663964537021</v>
      </c>
      <c r="S101" s="53">
        <f t="shared" si="9"/>
        <v>7592.2016327506026</v>
      </c>
      <c r="T101" s="54">
        <f t="shared" si="10"/>
        <v>44655</v>
      </c>
      <c r="U101" s="54">
        <f t="shared" si="11"/>
        <v>44691</v>
      </c>
    </row>
    <row r="102" spans="1:21">
      <c r="A102">
        <v>2</v>
      </c>
      <c r="B102" t="s">
        <v>158</v>
      </c>
      <c r="E102" t="s">
        <v>159</v>
      </c>
      <c r="F102" s="11">
        <v>44628</v>
      </c>
      <c r="G102" s="11">
        <v>44756</v>
      </c>
      <c r="J102" s="3" t="s">
        <v>11</v>
      </c>
      <c r="N102" s="3">
        <f>VLOOKUP(F102,SEMANAS!$B$1:$C$301,2,0)</f>
        <v>16</v>
      </c>
      <c r="O102" s="3">
        <f>VLOOKUP(G102,SEMANAS!$B$1:$C$301,2,0)</f>
        <v>34</v>
      </c>
      <c r="R102" s="53">
        <f t="shared" si="8"/>
        <v>0</v>
      </c>
      <c r="S102" s="53">
        <f t="shared" si="9"/>
        <v>0</v>
      </c>
      <c r="T102" s="54">
        <f t="shared" si="10"/>
        <v>44613</v>
      </c>
      <c r="U102" s="54">
        <f t="shared" si="11"/>
        <v>44771</v>
      </c>
    </row>
    <row r="103" spans="1:21">
      <c r="A103" t="s">
        <v>160</v>
      </c>
      <c r="B103" t="s">
        <v>161</v>
      </c>
      <c r="E103" t="s">
        <v>162</v>
      </c>
      <c r="F103" s="11">
        <v>44628</v>
      </c>
      <c r="G103" s="11">
        <v>44721</v>
      </c>
      <c r="J103" s="3" t="s">
        <v>11</v>
      </c>
      <c r="N103" s="3">
        <f>VLOOKUP(F103,SEMANAS!$B$1:$C$301,2,0)</f>
        <v>16</v>
      </c>
      <c r="O103" s="3">
        <f>VLOOKUP(G103,SEMANAS!$B$1:$C$301,2,0)</f>
        <v>29</v>
      </c>
      <c r="R103" s="53">
        <f t="shared" si="8"/>
        <v>0</v>
      </c>
      <c r="S103" s="53">
        <f t="shared" si="9"/>
        <v>0</v>
      </c>
      <c r="T103" s="54">
        <f t="shared" si="10"/>
        <v>44613</v>
      </c>
      <c r="U103" s="54">
        <f t="shared" si="11"/>
        <v>44736</v>
      </c>
    </row>
    <row r="104" spans="1:21">
      <c r="A104" t="s">
        <v>163</v>
      </c>
      <c r="B104" t="s">
        <v>164</v>
      </c>
      <c r="D104" t="s">
        <v>158</v>
      </c>
      <c r="E104" t="s">
        <v>18</v>
      </c>
      <c r="F104" s="11">
        <v>44628</v>
      </c>
      <c r="G104" s="11">
        <v>44634</v>
      </c>
      <c r="J104" s="3">
        <v>126.22</v>
      </c>
      <c r="K104" s="3" t="s">
        <v>197</v>
      </c>
      <c r="L104" s="7">
        <f>VLOOKUP(B104,'CUSTO ATIVIDADE'!$A$1:$B$30,2,0)</f>
        <v>111.22574674641417</v>
      </c>
      <c r="M104" s="10">
        <f t="shared" ref="M104:M105" si="14">L104*J104</f>
        <v>14038.913754332398</v>
      </c>
      <c r="N104" s="3">
        <f>VLOOKUP(F104,SEMANAS!$B$1:$C$301,2,0)</f>
        <v>16</v>
      </c>
      <c r="O104" s="3">
        <f>VLOOKUP(G104,SEMANAS!$B$1:$C$301,2,0)</f>
        <v>17</v>
      </c>
      <c r="P104" s="52">
        <f>VLOOKUP(B104,'MT-MO'!$A$3:$C$31,2,0)</f>
        <v>0.31851905468495528</v>
      </c>
      <c r="Q104" s="52">
        <f>VLOOKUP(B104,'MT-MO'!$A$3:$C$31,3,0)</f>
        <v>0.68148094531504466</v>
      </c>
      <c r="R104" s="53">
        <f t="shared" si="8"/>
        <v>4471.6615378335719</v>
      </c>
      <c r="S104" s="53">
        <f t="shared" si="9"/>
        <v>9567.2522164988259</v>
      </c>
      <c r="T104" s="54">
        <f t="shared" si="10"/>
        <v>44613</v>
      </c>
      <c r="U104" s="54">
        <f t="shared" si="11"/>
        <v>44649</v>
      </c>
    </row>
    <row r="105" spans="1:21">
      <c r="A105" t="s">
        <v>165</v>
      </c>
      <c r="B105" t="s">
        <v>166</v>
      </c>
      <c r="D105" t="s">
        <v>158</v>
      </c>
      <c r="E105" t="s">
        <v>18</v>
      </c>
      <c r="F105" s="11">
        <v>44715</v>
      </c>
      <c r="G105" s="11">
        <v>44721</v>
      </c>
      <c r="J105" s="3">
        <v>126.22</v>
      </c>
      <c r="K105" s="3" t="s">
        <v>197</v>
      </c>
      <c r="L105" s="7">
        <f>VLOOKUP(B105,'CUSTO ATIVIDADE'!$A$1:$B$30,2,0)</f>
        <v>49.707079999999983</v>
      </c>
      <c r="M105" s="10">
        <f t="shared" si="14"/>
        <v>6274.0276375999974</v>
      </c>
      <c r="N105" s="3">
        <f>VLOOKUP(F105,SEMANAS!$B$1:$C$301,2,0)</f>
        <v>28</v>
      </c>
      <c r="O105" s="3">
        <f>VLOOKUP(G105,SEMANAS!$B$1:$C$301,2,0)</f>
        <v>29</v>
      </c>
      <c r="P105" s="52">
        <f>VLOOKUP(B105,'MT-MO'!$A$3:$C$31,2,0)</f>
        <v>0.40235935644098908</v>
      </c>
      <c r="Q105" s="52">
        <f>VLOOKUP(B105,'MT-MO'!$A$3:$C$31,3,0)</f>
        <v>0.59764064355901092</v>
      </c>
      <c r="R105" s="53">
        <f t="shared" si="8"/>
        <v>2524.4137225577142</v>
      </c>
      <c r="S105" s="53">
        <f t="shared" si="9"/>
        <v>3749.6139150422832</v>
      </c>
      <c r="T105" s="54">
        <f t="shared" si="10"/>
        <v>44700</v>
      </c>
      <c r="U105" s="54">
        <f t="shared" si="11"/>
        <v>44736</v>
      </c>
    </row>
    <row r="106" spans="1:21">
      <c r="A106" t="s">
        <v>167</v>
      </c>
      <c r="B106" t="s">
        <v>168</v>
      </c>
      <c r="E106" t="s">
        <v>162</v>
      </c>
      <c r="F106" s="11">
        <v>44635</v>
      </c>
      <c r="G106" s="11">
        <v>44728</v>
      </c>
      <c r="J106" s="3"/>
      <c r="N106" s="3">
        <f>VLOOKUP(F106,SEMANAS!$B$1:$C$301,2,0)</f>
        <v>17</v>
      </c>
      <c r="O106" s="3">
        <f>VLOOKUP(G106,SEMANAS!$B$1:$C$301,2,0)</f>
        <v>30</v>
      </c>
      <c r="R106" s="53">
        <f t="shared" si="8"/>
        <v>0</v>
      </c>
      <c r="S106" s="53">
        <f t="shared" si="9"/>
        <v>0</v>
      </c>
      <c r="T106" s="54">
        <f t="shared" si="10"/>
        <v>44620</v>
      </c>
      <c r="U106" s="54">
        <f t="shared" si="11"/>
        <v>44743</v>
      </c>
    </row>
    <row r="107" spans="1:21">
      <c r="A107" t="s">
        <v>169</v>
      </c>
      <c r="B107" t="s">
        <v>164</v>
      </c>
      <c r="D107" t="s">
        <v>158</v>
      </c>
      <c r="E107" t="s">
        <v>18</v>
      </c>
      <c r="F107" s="11">
        <v>44635</v>
      </c>
      <c r="G107" s="11">
        <v>44641</v>
      </c>
      <c r="J107" s="3">
        <v>142.51</v>
      </c>
      <c r="K107" s="3" t="s">
        <v>197</v>
      </c>
      <c r="L107" s="7">
        <f>VLOOKUP(B107,'CUSTO ATIVIDADE'!$A$1:$B$30,2,0)</f>
        <v>111.22574674641417</v>
      </c>
      <c r="M107" s="10">
        <f t="shared" ref="M107:M108" si="15">L107*J107</f>
        <v>15850.781168831483</v>
      </c>
      <c r="N107" s="3">
        <f>VLOOKUP(F107,SEMANAS!$B$1:$C$301,2,0)</f>
        <v>17</v>
      </c>
      <c r="O107" s="3">
        <f>VLOOKUP(G107,SEMANAS!$B$1:$C$301,2,0)</f>
        <v>18</v>
      </c>
      <c r="P107" s="52">
        <f>VLOOKUP(B107,'MT-MO'!$A$3:$C$31,2,0)</f>
        <v>0.31851905468495528</v>
      </c>
      <c r="Q107" s="52">
        <f>VLOOKUP(B107,'MT-MO'!$A$3:$C$31,3,0)</f>
        <v>0.68148094531504466</v>
      </c>
      <c r="R107" s="53">
        <f t="shared" si="8"/>
        <v>5048.7758339142947</v>
      </c>
      <c r="S107" s="53">
        <f t="shared" si="9"/>
        <v>10802.005334917189</v>
      </c>
      <c r="T107" s="54">
        <f t="shared" si="10"/>
        <v>44620</v>
      </c>
      <c r="U107" s="54">
        <f t="shared" si="11"/>
        <v>44656</v>
      </c>
    </row>
    <row r="108" spans="1:21">
      <c r="A108" t="s">
        <v>170</v>
      </c>
      <c r="B108" t="s">
        <v>166</v>
      </c>
      <c r="D108" t="s">
        <v>158</v>
      </c>
      <c r="E108" t="s">
        <v>18</v>
      </c>
      <c r="F108" s="11">
        <v>44722</v>
      </c>
      <c r="G108" s="11">
        <v>44728</v>
      </c>
      <c r="J108" s="3">
        <v>142.51</v>
      </c>
      <c r="K108" s="3" t="s">
        <v>197</v>
      </c>
      <c r="L108" s="7">
        <f>VLOOKUP(B108,'CUSTO ATIVIDADE'!$A$1:$B$30,2,0)</f>
        <v>49.707079999999983</v>
      </c>
      <c r="M108" s="10">
        <f t="shared" si="15"/>
        <v>7083.7559707999972</v>
      </c>
      <c r="N108" s="3">
        <f>VLOOKUP(F108,SEMANAS!$B$1:$C$301,2,0)</f>
        <v>29</v>
      </c>
      <c r="O108" s="3">
        <f>VLOOKUP(G108,SEMANAS!$B$1:$C$301,2,0)</f>
        <v>30</v>
      </c>
      <c r="P108" s="52">
        <f>VLOOKUP(B108,'MT-MO'!$A$3:$C$31,2,0)</f>
        <v>0.40235935644098908</v>
      </c>
      <c r="Q108" s="52">
        <f>VLOOKUP(B108,'MT-MO'!$A$3:$C$31,3,0)</f>
        <v>0.59764064355901092</v>
      </c>
      <c r="R108" s="53">
        <f t="shared" si="8"/>
        <v>2850.2154935961007</v>
      </c>
      <c r="S108" s="53">
        <f t="shared" si="9"/>
        <v>4233.5404772038964</v>
      </c>
      <c r="T108" s="54">
        <f t="shared" si="10"/>
        <v>44707</v>
      </c>
      <c r="U108" s="54">
        <f t="shared" si="11"/>
        <v>44743</v>
      </c>
    </row>
    <row r="109" spans="1:21">
      <c r="A109" t="s">
        <v>171</v>
      </c>
      <c r="B109" t="s">
        <v>172</v>
      </c>
      <c r="E109" t="s">
        <v>162</v>
      </c>
      <c r="F109" s="11">
        <v>44642</v>
      </c>
      <c r="G109" s="11">
        <v>44735</v>
      </c>
      <c r="J109" s="3"/>
      <c r="N109" s="3">
        <f>VLOOKUP(F109,SEMANAS!$B$1:$C$301,2,0)</f>
        <v>18</v>
      </c>
      <c r="O109" s="3">
        <f>VLOOKUP(G109,SEMANAS!$B$1:$C$301,2,0)</f>
        <v>31</v>
      </c>
      <c r="R109" s="53">
        <f t="shared" si="8"/>
        <v>0</v>
      </c>
      <c r="S109" s="53">
        <f t="shared" si="9"/>
        <v>0</v>
      </c>
      <c r="T109" s="54">
        <f t="shared" si="10"/>
        <v>44627</v>
      </c>
      <c r="U109" s="54">
        <f t="shared" si="11"/>
        <v>44750</v>
      </c>
    </row>
    <row r="110" spans="1:21">
      <c r="A110" t="s">
        <v>173</v>
      </c>
      <c r="B110" t="s">
        <v>164</v>
      </c>
      <c r="D110" t="s">
        <v>158</v>
      </c>
      <c r="E110" t="s">
        <v>18</v>
      </c>
      <c r="F110" s="11">
        <v>44642</v>
      </c>
      <c r="G110" s="11">
        <v>44648</v>
      </c>
      <c r="J110" s="3">
        <v>113.41</v>
      </c>
      <c r="K110" s="3" t="s">
        <v>197</v>
      </c>
      <c r="L110" s="7">
        <f>VLOOKUP(B110,'CUSTO ATIVIDADE'!$A$1:$B$30,2,0)</f>
        <v>111.22574674641417</v>
      </c>
      <c r="M110" s="10">
        <f t="shared" ref="M110:M111" si="16">L110*J110</f>
        <v>12614.11193851083</v>
      </c>
      <c r="N110" s="3">
        <f>VLOOKUP(F110,SEMANAS!$B$1:$C$301,2,0)</f>
        <v>18</v>
      </c>
      <c r="O110" s="3">
        <f>VLOOKUP(G110,SEMANAS!$B$1:$C$301,2,0)</f>
        <v>19</v>
      </c>
      <c r="P110" s="52">
        <f>VLOOKUP(B110,'MT-MO'!$A$3:$C$31,2,0)</f>
        <v>0.31851905468495528</v>
      </c>
      <c r="Q110" s="52">
        <f>VLOOKUP(B110,'MT-MO'!$A$3:$C$31,3,0)</f>
        <v>0.68148094531504466</v>
      </c>
      <c r="R110" s="53">
        <f t="shared" si="8"/>
        <v>4017.8350103446783</v>
      </c>
      <c r="S110" s="53">
        <f t="shared" si="9"/>
        <v>8596.2769281661513</v>
      </c>
      <c r="T110" s="54">
        <f t="shared" si="10"/>
        <v>44627</v>
      </c>
      <c r="U110" s="54">
        <f t="shared" si="11"/>
        <v>44663</v>
      </c>
    </row>
    <row r="111" spans="1:21">
      <c r="A111" t="s">
        <v>174</v>
      </c>
      <c r="B111" t="s">
        <v>166</v>
      </c>
      <c r="D111" t="s">
        <v>158</v>
      </c>
      <c r="E111" t="s">
        <v>18</v>
      </c>
      <c r="F111" s="11">
        <v>44729</v>
      </c>
      <c r="G111" s="11">
        <v>44735</v>
      </c>
      <c r="J111" s="3">
        <v>113.41</v>
      </c>
      <c r="K111" s="3" t="s">
        <v>197</v>
      </c>
      <c r="L111" s="7">
        <f>VLOOKUP(B111,'CUSTO ATIVIDADE'!$A$1:$B$30,2,0)</f>
        <v>49.707079999999983</v>
      </c>
      <c r="M111" s="10">
        <f t="shared" si="16"/>
        <v>5637.279942799998</v>
      </c>
      <c r="N111" s="3">
        <f>VLOOKUP(F111,SEMANAS!$B$1:$C$301,2,0)</f>
        <v>30</v>
      </c>
      <c r="O111" s="3">
        <f>VLOOKUP(G111,SEMANAS!$B$1:$C$301,2,0)</f>
        <v>31</v>
      </c>
      <c r="P111" s="52">
        <f>VLOOKUP(B111,'MT-MO'!$A$3:$C$31,2,0)</f>
        <v>0.40235935644098908</v>
      </c>
      <c r="Q111" s="52">
        <f>VLOOKUP(B111,'MT-MO'!$A$3:$C$31,3,0)</f>
        <v>0.59764064355901092</v>
      </c>
      <c r="R111" s="53">
        <f t="shared" si="8"/>
        <v>2268.212329862703</v>
      </c>
      <c r="S111" s="53">
        <f t="shared" si="9"/>
        <v>3369.0676129372951</v>
      </c>
      <c r="T111" s="54">
        <f t="shared" si="10"/>
        <v>44714</v>
      </c>
      <c r="U111" s="54">
        <f t="shared" si="11"/>
        <v>44750</v>
      </c>
    </row>
    <row r="112" spans="1:21">
      <c r="A112" t="s">
        <v>175</v>
      </c>
      <c r="B112" t="s">
        <v>176</v>
      </c>
      <c r="E112" t="s">
        <v>162</v>
      </c>
      <c r="F112" s="11">
        <v>44649</v>
      </c>
      <c r="G112" s="11">
        <v>44742</v>
      </c>
      <c r="J112" s="3"/>
      <c r="N112" s="3">
        <f>VLOOKUP(F112,SEMANAS!$B$1:$C$301,2,0)</f>
        <v>19</v>
      </c>
      <c r="O112" s="3">
        <f>VLOOKUP(G112,SEMANAS!$B$1:$C$301,2,0)</f>
        <v>32</v>
      </c>
      <c r="R112" s="53">
        <f t="shared" si="8"/>
        <v>0</v>
      </c>
      <c r="S112" s="53">
        <f t="shared" si="9"/>
        <v>0</v>
      </c>
      <c r="T112" s="54">
        <f t="shared" si="10"/>
        <v>44634</v>
      </c>
      <c r="U112" s="54">
        <f t="shared" si="11"/>
        <v>44757</v>
      </c>
    </row>
    <row r="113" spans="1:21">
      <c r="A113" t="s">
        <v>177</v>
      </c>
      <c r="B113" t="s">
        <v>164</v>
      </c>
      <c r="D113" t="s">
        <v>158</v>
      </c>
      <c r="E113" t="s">
        <v>18</v>
      </c>
      <c r="F113" s="11">
        <v>44649</v>
      </c>
      <c r="G113" s="11">
        <v>44655</v>
      </c>
      <c r="J113" s="3">
        <v>124.84</v>
      </c>
      <c r="K113" s="3" t="s">
        <v>197</v>
      </c>
      <c r="L113" s="7">
        <f>VLOOKUP(B113,'CUSTO ATIVIDADE'!$A$1:$B$30,2,0)</f>
        <v>111.22574674641417</v>
      </c>
      <c r="M113" s="10">
        <f t="shared" ref="M113:M114" si="17">L113*J113</f>
        <v>13885.422223822346</v>
      </c>
      <c r="N113" s="3">
        <f>VLOOKUP(F113,SEMANAS!$B$1:$C$301,2,0)</f>
        <v>19</v>
      </c>
      <c r="O113" s="3">
        <f>VLOOKUP(G113,SEMANAS!$B$1:$C$301,2,0)</f>
        <v>20</v>
      </c>
      <c r="P113" s="52">
        <f>VLOOKUP(B113,'MT-MO'!$A$3:$C$31,2,0)</f>
        <v>0.31851905468495528</v>
      </c>
      <c r="Q113" s="52">
        <f>VLOOKUP(B113,'MT-MO'!$A$3:$C$31,3,0)</f>
        <v>0.68148094531504466</v>
      </c>
      <c r="R113" s="53">
        <f t="shared" si="8"/>
        <v>4422.7715606333632</v>
      </c>
      <c r="S113" s="53">
        <f t="shared" si="9"/>
        <v>9462.6506631889824</v>
      </c>
      <c r="T113" s="54">
        <f t="shared" si="10"/>
        <v>44634</v>
      </c>
      <c r="U113" s="54">
        <f t="shared" si="11"/>
        <v>44670</v>
      </c>
    </row>
    <row r="114" spans="1:21">
      <c r="A114" t="s">
        <v>178</v>
      </c>
      <c r="B114" t="s">
        <v>166</v>
      </c>
      <c r="D114" t="s">
        <v>158</v>
      </c>
      <c r="E114" t="s">
        <v>18</v>
      </c>
      <c r="F114" s="11">
        <v>44736</v>
      </c>
      <c r="G114" s="11">
        <v>44742</v>
      </c>
      <c r="J114" s="3">
        <v>124.84</v>
      </c>
      <c r="K114" s="3" t="s">
        <v>197</v>
      </c>
      <c r="L114" s="7">
        <f>VLOOKUP(B114,'CUSTO ATIVIDADE'!$A$1:$B$30,2,0)</f>
        <v>49.707079999999983</v>
      </c>
      <c r="M114" s="10">
        <f t="shared" si="17"/>
        <v>6205.4318671999981</v>
      </c>
      <c r="N114" s="3">
        <f>VLOOKUP(F114,SEMANAS!$B$1:$C$301,2,0)</f>
        <v>31</v>
      </c>
      <c r="O114" s="3">
        <f>VLOOKUP(G114,SEMANAS!$B$1:$C$301,2,0)</f>
        <v>32</v>
      </c>
      <c r="P114" s="52">
        <f>VLOOKUP(B114,'MT-MO'!$A$3:$C$31,2,0)</f>
        <v>0.40235935644098908</v>
      </c>
      <c r="Q114" s="52">
        <f>VLOOKUP(B114,'MT-MO'!$A$3:$C$31,3,0)</f>
        <v>0.59764064355901092</v>
      </c>
      <c r="R114" s="53">
        <f t="shared" si="8"/>
        <v>2496.8135725249963</v>
      </c>
      <c r="S114" s="53">
        <f t="shared" si="9"/>
        <v>3708.6182946750018</v>
      </c>
      <c r="T114" s="54">
        <f t="shared" si="10"/>
        <v>44721</v>
      </c>
      <c r="U114" s="54">
        <f t="shared" si="11"/>
        <v>44757</v>
      </c>
    </row>
    <row r="115" spans="1:21">
      <c r="A115" t="s">
        <v>179</v>
      </c>
      <c r="B115" t="s">
        <v>180</v>
      </c>
      <c r="E115" t="s">
        <v>162</v>
      </c>
      <c r="F115" s="11">
        <v>44656</v>
      </c>
      <c r="G115" s="11">
        <v>44749</v>
      </c>
      <c r="J115" s="3"/>
      <c r="N115" s="3">
        <f>VLOOKUP(F115,SEMANAS!$B$1:$C$301,2,0)</f>
        <v>20</v>
      </c>
      <c r="O115" s="3">
        <f>VLOOKUP(G115,SEMANAS!$B$1:$C$301,2,0)</f>
        <v>33</v>
      </c>
      <c r="R115" s="53">
        <f t="shared" si="8"/>
        <v>0</v>
      </c>
      <c r="S115" s="53">
        <f t="shared" si="9"/>
        <v>0</v>
      </c>
      <c r="T115" s="54">
        <f t="shared" si="10"/>
        <v>44641</v>
      </c>
      <c r="U115" s="54">
        <f t="shared" si="11"/>
        <v>44764</v>
      </c>
    </row>
    <row r="116" spans="1:21">
      <c r="A116" t="s">
        <v>181</v>
      </c>
      <c r="B116" t="s">
        <v>164</v>
      </c>
      <c r="D116" t="s">
        <v>158</v>
      </c>
      <c r="E116" t="s">
        <v>18</v>
      </c>
      <c r="F116" s="11">
        <v>44656</v>
      </c>
      <c r="G116" s="11">
        <v>44662</v>
      </c>
      <c r="J116" s="3">
        <v>138.44</v>
      </c>
      <c r="K116" s="3" t="s">
        <v>197</v>
      </c>
      <c r="L116" s="7">
        <f>VLOOKUP(B116,'CUSTO ATIVIDADE'!$A$1:$B$30,2,0)</f>
        <v>111.22574674641417</v>
      </c>
      <c r="M116" s="10">
        <f t="shared" ref="M116:M117" si="18">L116*J116</f>
        <v>15398.092379573578</v>
      </c>
      <c r="N116" s="3">
        <f>VLOOKUP(F116,SEMANAS!$B$1:$C$301,2,0)</f>
        <v>20</v>
      </c>
      <c r="O116" s="3">
        <f>VLOOKUP(G116,SEMANAS!$B$1:$C$301,2,0)</f>
        <v>21</v>
      </c>
      <c r="P116" s="52">
        <f>VLOOKUP(B116,'MT-MO'!$A$3:$C$31,2,0)</f>
        <v>0.31851905468495528</v>
      </c>
      <c r="Q116" s="52">
        <f>VLOOKUP(B116,'MT-MO'!$A$3:$C$31,3,0)</f>
        <v>0.68148094531504466</v>
      </c>
      <c r="R116" s="53">
        <f t="shared" si="8"/>
        <v>4904.5858286933899</v>
      </c>
      <c r="S116" s="53">
        <f t="shared" si="9"/>
        <v>10493.506550880187</v>
      </c>
      <c r="T116" s="54">
        <f t="shared" si="10"/>
        <v>44641</v>
      </c>
      <c r="U116" s="54">
        <f t="shared" si="11"/>
        <v>44677</v>
      </c>
    </row>
    <row r="117" spans="1:21">
      <c r="A117" t="s">
        <v>182</v>
      </c>
      <c r="B117" t="s">
        <v>166</v>
      </c>
      <c r="D117" t="s">
        <v>158</v>
      </c>
      <c r="E117" t="s">
        <v>18</v>
      </c>
      <c r="F117" s="11">
        <v>44743</v>
      </c>
      <c r="G117" s="11">
        <v>44749</v>
      </c>
      <c r="J117" s="3">
        <v>138.44</v>
      </c>
      <c r="K117" s="3" t="s">
        <v>197</v>
      </c>
      <c r="L117" s="7">
        <f>VLOOKUP(B117,'CUSTO ATIVIDADE'!$A$1:$B$30,2,0)</f>
        <v>49.707079999999983</v>
      </c>
      <c r="M117" s="10">
        <f t="shared" si="18"/>
        <v>6881.4481551999979</v>
      </c>
      <c r="N117" s="3">
        <f>VLOOKUP(F117,SEMANAS!$B$1:$C$301,2,0)</f>
        <v>32</v>
      </c>
      <c r="O117" s="3">
        <f>VLOOKUP(G117,SEMANAS!$B$1:$C$301,2,0)</f>
        <v>33</v>
      </c>
      <c r="P117" s="52">
        <f>VLOOKUP(B117,'MT-MO'!$A$3:$C$31,2,0)</f>
        <v>0.40235935644098908</v>
      </c>
      <c r="Q117" s="52">
        <f>VLOOKUP(B117,'MT-MO'!$A$3:$C$31,3,0)</f>
        <v>0.59764064355901092</v>
      </c>
      <c r="R117" s="53">
        <f t="shared" si="8"/>
        <v>2768.8150511083027</v>
      </c>
      <c r="S117" s="53">
        <f t="shared" si="9"/>
        <v>4112.6331040916948</v>
      </c>
      <c r="T117" s="54">
        <f t="shared" si="10"/>
        <v>44728</v>
      </c>
      <c r="U117" s="54">
        <f t="shared" si="11"/>
        <v>44764</v>
      </c>
    </row>
    <row r="118" spans="1:21">
      <c r="A118" t="s">
        <v>183</v>
      </c>
      <c r="B118" t="s">
        <v>184</v>
      </c>
      <c r="E118" t="s">
        <v>162</v>
      </c>
      <c r="F118" s="11">
        <v>44663</v>
      </c>
      <c r="G118" s="11">
        <v>44756</v>
      </c>
      <c r="J118" s="3"/>
      <c r="N118" s="3">
        <f>VLOOKUP(F118,SEMANAS!$B$1:$C$301,2,0)</f>
        <v>21</v>
      </c>
      <c r="O118" s="3">
        <f>VLOOKUP(G118,SEMANAS!$B$1:$C$301,2,0)</f>
        <v>34</v>
      </c>
      <c r="R118" s="53">
        <f t="shared" si="8"/>
        <v>0</v>
      </c>
      <c r="S118" s="53">
        <f t="shared" si="9"/>
        <v>0</v>
      </c>
      <c r="T118" s="54">
        <f t="shared" si="10"/>
        <v>44648</v>
      </c>
      <c r="U118" s="54">
        <f t="shared" si="11"/>
        <v>44771</v>
      </c>
    </row>
    <row r="119" spans="1:21">
      <c r="A119" t="s">
        <v>185</v>
      </c>
      <c r="B119" t="s">
        <v>164</v>
      </c>
      <c r="D119" t="s">
        <v>158</v>
      </c>
      <c r="E119" t="s">
        <v>18</v>
      </c>
      <c r="F119" s="11">
        <v>44663</v>
      </c>
      <c r="G119" s="11">
        <v>44669</v>
      </c>
      <c r="J119" s="3">
        <v>99.85</v>
      </c>
      <c r="K119" s="3" t="s">
        <v>197</v>
      </c>
      <c r="L119" s="7">
        <f>VLOOKUP(B119,'CUSTO ATIVIDADE'!$A$1:$B$30,2,0)</f>
        <v>111.22574674641417</v>
      </c>
      <c r="M119" s="10">
        <f t="shared" ref="M119:M120" si="19">L119*J119</f>
        <v>11105.890812629455</v>
      </c>
      <c r="N119" s="3">
        <f>VLOOKUP(F119,SEMANAS!$B$1:$C$301,2,0)</f>
        <v>21</v>
      </c>
      <c r="O119" s="3">
        <f>VLOOKUP(G119,SEMANAS!$B$1:$C$301,2,0)</f>
        <v>22</v>
      </c>
      <c r="P119" s="52">
        <f>VLOOKUP(B119,'MT-MO'!$A$3:$C$31,2,0)</f>
        <v>0.31851905468495528</v>
      </c>
      <c r="Q119" s="52">
        <f>VLOOKUP(B119,'MT-MO'!$A$3:$C$31,3,0)</f>
        <v>0.68148094531504466</v>
      </c>
      <c r="R119" s="53">
        <f t="shared" si="8"/>
        <v>3537.437843073064</v>
      </c>
      <c r="S119" s="53">
        <f t="shared" si="9"/>
        <v>7568.4529695563906</v>
      </c>
      <c r="T119" s="54">
        <f t="shared" si="10"/>
        <v>44648</v>
      </c>
      <c r="U119" s="54">
        <f t="shared" si="11"/>
        <v>44684</v>
      </c>
    </row>
    <row r="120" spans="1:21">
      <c r="A120" t="s">
        <v>186</v>
      </c>
      <c r="B120" t="s">
        <v>166</v>
      </c>
      <c r="D120" t="s">
        <v>158</v>
      </c>
      <c r="E120" t="s">
        <v>18</v>
      </c>
      <c r="F120" s="11">
        <v>44750</v>
      </c>
      <c r="G120" s="11">
        <v>44756</v>
      </c>
      <c r="J120" s="3">
        <v>99.85</v>
      </c>
      <c r="K120" s="3" t="s">
        <v>197</v>
      </c>
      <c r="L120" s="7">
        <f>VLOOKUP(B120,'CUSTO ATIVIDADE'!$A$1:$B$30,2,0)</f>
        <v>49.707079999999983</v>
      </c>
      <c r="M120" s="10">
        <f t="shared" si="19"/>
        <v>4963.2519379999985</v>
      </c>
      <c r="N120" s="3">
        <f>VLOOKUP(F120,SEMANAS!$B$1:$C$301,2,0)</f>
        <v>33</v>
      </c>
      <c r="O120" s="3">
        <f>VLOOKUP(G120,SEMANAS!$B$1:$C$301,2,0)</f>
        <v>34</v>
      </c>
      <c r="P120" s="52">
        <f>VLOOKUP(B120,'MT-MO'!$A$3:$C$31,2,0)</f>
        <v>0.40235935644098908</v>
      </c>
      <c r="Q120" s="52">
        <f>VLOOKUP(B120,'MT-MO'!$A$3:$C$31,3,0)</f>
        <v>0.59764064355901092</v>
      </c>
      <c r="R120" s="53">
        <f t="shared" si="8"/>
        <v>1997.0108556281712</v>
      </c>
      <c r="S120" s="53">
        <f t="shared" si="9"/>
        <v>2966.2410823718274</v>
      </c>
      <c r="T120" s="54">
        <f t="shared" si="10"/>
        <v>44735</v>
      </c>
      <c r="U120" s="54">
        <f t="shared" si="11"/>
        <v>44771</v>
      </c>
    </row>
  </sheetData>
  <autoFilter ref="A1:N120" xr:uid="{00000000-0009-0000-0000-000002000000}"/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5D4AA4-5783-4263-96ED-F0B4E8556731}">
  <dimension ref="A1:D32"/>
  <sheetViews>
    <sheetView workbookViewId="0">
      <selection activeCell="D32" sqref="D32"/>
    </sheetView>
  </sheetViews>
  <sheetFormatPr defaultRowHeight="15"/>
  <cols>
    <col min="1" max="1" width="30.5703125" bestFit="1" customWidth="1"/>
    <col min="3" max="3" width="12" bestFit="1" customWidth="1"/>
    <col min="5" max="5" width="26.42578125" bestFit="1" customWidth="1"/>
  </cols>
  <sheetData>
    <row r="1" spans="1:4">
      <c r="A1" t="s">
        <v>222</v>
      </c>
      <c r="B1" t="s">
        <v>223</v>
      </c>
    </row>
    <row r="2" spans="1:4">
      <c r="A2" t="s">
        <v>208</v>
      </c>
      <c r="B2" t="s">
        <v>224</v>
      </c>
      <c r="C2" t="s">
        <v>225</v>
      </c>
      <c r="D2" t="s">
        <v>205</v>
      </c>
    </row>
    <row r="3" spans="1:4">
      <c r="A3" t="s">
        <v>157</v>
      </c>
      <c r="B3" s="50">
        <v>0.24772096710265556</v>
      </c>
      <c r="C3" s="50">
        <v>0.75227903289734444</v>
      </c>
      <c r="D3" s="50">
        <v>1</v>
      </c>
    </row>
    <row r="4" spans="1:4">
      <c r="A4" t="s">
        <v>226</v>
      </c>
      <c r="B4" s="50">
        <v>0.13858702989570013</v>
      </c>
      <c r="C4" s="50">
        <v>0.86141297010429985</v>
      </c>
      <c r="D4" s="50">
        <v>1</v>
      </c>
    </row>
    <row r="5" spans="1:4">
      <c r="A5" t="s">
        <v>47</v>
      </c>
      <c r="B5" s="50">
        <v>0.57761004134961225</v>
      </c>
      <c r="C5" s="50">
        <v>0.42238995865038781</v>
      </c>
      <c r="D5" s="50">
        <v>1</v>
      </c>
    </row>
    <row r="6" spans="1:4">
      <c r="A6" t="s">
        <v>227</v>
      </c>
      <c r="B6" s="50">
        <v>1</v>
      </c>
      <c r="C6" s="50">
        <v>0</v>
      </c>
      <c r="D6" s="50">
        <v>1</v>
      </c>
    </row>
    <row r="7" spans="1:4">
      <c r="A7" t="s">
        <v>228</v>
      </c>
      <c r="B7" s="50">
        <v>1</v>
      </c>
      <c r="C7" s="50">
        <v>0</v>
      </c>
      <c r="D7" s="50">
        <v>1</v>
      </c>
    </row>
    <row r="8" spans="1:4">
      <c r="A8" t="s">
        <v>51</v>
      </c>
      <c r="B8" s="50">
        <v>0.19811320754716982</v>
      </c>
      <c r="C8" s="50">
        <v>0.80188679245283023</v>
      </c>
      <c r="D8" s="50">
        <v>1</v>
      </c>
    </row>
    <row r="9" spans="1:4">
      <c r="A9" t="s">
        <v>229</v>
      </c>
      <c r="B9" s="50">
        <v>0.78946296026779217</v>
      </c>
      <c r="C9" s="50">
        <v>0.21053703973220783</v>
      </c>
      <c r="D9" s="50">
        <v>1</v>
      </c>
    </row>
    <row r="10" spans="1:4">
      <c r="A10" t="s">
        <v>230</v>
      </c>
      <c r="B10" s="50">
        <v>0.38396280966583479</v>
      </c>
      <c r="C10" s="50">
        <v>0.61603719033416515</v>
      </c>
      <c r="D10" s="50">
        <v>1</v>
      </c>
    </row>
    <row r="11" spans="1:4">
      <c r="A11" t="s">
        <v>231</v>
      </c>
      <c r="B11" s="50">
        <v>0.62323497906319991</v>
      </c>
      <c r="C11" s="50">
        <v>0.37676502093680009</v>
      </c>
      <c r="D11" s="50">
        <v>1</v>
      </c>
    </row>
    <row r="12" spans="1:4">
      <c r="A12" t="s">
        <v>232</v>
      </c>
      <c r="B12" s="50">
        <v>0.31868131868131866</v>
      </c>
      <c r="C12" s="50">
        <v>0.68131868131868134</v>
      </c>
      <c r="D12" s="50">
        <v>1</v>
      </c>
    </row>
    <row r="13" spans="1:4">
      <c r="A13" t="s">
        <v>233</v>
      </c>
      <c r="B13" s="50">
        <v>0.45986419526518629</v>
      </c>
      <c r="C13" s="50">
        <v>0.54013580473481371</v>
      </c>
      <c r="D13" s="50">
        <v>1</v>
      </c>
    </row>
    <row r="14" spans="1:4">
      <c r="A14" t="s">
        <v>234</v>
      </c>
      <c r="B14" s="50">
        <v>1</v>
      </c>
      <c r="C14" s="50">
        <v>0</v>
      </c>
      <c r="D14" s="50">
        <v>1</v>
      </c>
    </row>
    <row r="15" spans="1:4">
      <c r="A15" t="s">
        <v>235</v>
      </c>
      <c r="B15" s="50">
        <v>0.35672482024413354</v>
      </c>
      <c r="C15" s="50">
        <v>0.64327517975586646</v>
      </c>
      <c r="D15" s="50">
        <v>1</v>
      </c>
    </row>
    <row r="16" spans="1:4">
      <c r="A16" t="s">
        <v>236</v>
      </c>
      <c r="B16" s="50">
        <v>0.56523337008452779</v>
      </c>
      <c r="C16" s="50">
        <v>0.43476662991547227</v>
      </c>
      <c r="D16" s="50">
        <v>1</v>
      </c>
    </row>
    <row r="17" spans="1:4">
      <c r="A17" t="s">
        <v>237</v>
      </c>
      <c r="B17" s="50">
        <v>0.15279568352194051</v>
      </c>
      <c r="C17" s="50">
        <v>0.84720431647805949</v>
      </c>
      <c r="D17" s="50">
        <v>1</v>
      </c>
    </row>
    <row r="18" spans="1:4">
      <c r="A18" t="s">
        <v>69</v>
      </c>
      <c r="B18" s="50">
        <v>0.44776119402985076</v>
      </c>
      <c r="C18" s="50">
        <v>0.55223880597014929</v>
      </c>
      <c r="D18" s="50">
        <v>1</v>
      </c>
    </row>
    <row r="19" spans="1:4">
      <c r="A19" t="s">
        <v>166</v>
      </c>
      <c r="B19" s="50">
        <v>0.40235935644098908</v>
      </c>
      <c r="C19" s="50">
        <v>0.59764064355901092</v>
      </c>
      <c r="D19" s="50">
        <v>1</v>
      </c>
    </row>
    <row r="20" spans="1:4">
      <c r="A20" t="s">
        <v>238</v>
      </c>
      <c r="B20" s="50">
        <v>1</v>
      </c>
      <c r="C20" s="50">
        <v>0</v>
      </c>
      <c r="D20" s="50">
        <v>1</v>
      </c>
    </row>
    <row r="21" spans="1:4">
      <c r="A21" t="s">
        <v>239</v>
      </c>
      <c r="B21" s="50">
        <v>0.52623399439170238</v>
      </c>
      <c r="C21" s="50">
        <v>0.47376600560829757</v>
      </c>
      <c r="D21" s="50">
        <v>1</v>
      </c>
    </row>
    <row r="22" spans="1:4">
      <c r="A22" t="s">
        <v>67</v>
      </c>
      <c r="B22" s="50">
        <v>0.15351618107620765</v>
      </c>
      <c r="C22" s="50">
        <v>0.84648381892379232</v>
      </c>
      <c r="D22" s="50">
        <v>1</v>
      </c>
    </row>
    <row r="23" spans="1:4">
      <c r="A23" t="s">
        <v>240</v>
      </c>
      <c r="B23" s="50">
        <v>0.15384615384615385</v>
      </c>
      <c r="C23" s="50">
        <v>0.84615384615384615</v>
      </c>
      <c r="D23" s="50">
        <v>1</v>
      </c>
    </row>
    <row r="24" spans="1:4">
      <c r="A24" t="s">
        <v>241</v>
      </c>
      <c r="B24" s="50">
        <v>0.31851905468495528</v>
      </c>
      <c r="C24" s="50">
        <v>0.68148094531504466</v>
      </c>
      <c r="D24" s="50">
        <v>1</v>
      </c>
    </row>
    <row r="25" spans="1:4">
      <c r="A25" t="s">
        <v>242</v>
      </c>
      <c r="B25" s="50">
        <v>0.26486813778256191</v>
      </c>
      <c r="C25" s="50">
        <v>0.73513186221743809</v>
      </c>
      <c r="D25" s="50">
        <v>1</v>
      </c>
    </row>
    <row r="26" spans="1:4">
      <c r="A26" t="s">
        <v>59</v>
      </c>
      <c r="B26" s="50">
        <v>0.28742225293711127</v>
      </c>
      <c r="C26" s="50">
        <v>0.71257774706288879</v>
      </c>
      <c r="D26" s="50">
        <v>1</v>
      </c>
    </row>
    <row r="27" spans="1:4">
      <c r="A27" t="s">
        <v>243</v>
      </c>
      <c r="B27" s="50">
        <v>0.62478082992402106</v>
      </c>
      <c r="C27" s="50">
        <v>0.37521917007597894</v>
      </c>
      <c r="D27" s="50">
        <v>1</v>
      </c>
    </row>
    <row r="28" spans="1:4">
      <c r="A28" t="s">
        <v>155</v>
      </c>
      <c r="B28" s="50">
        <v>0.48683772728162372</v>
      </c>
      <c r="C28" s="50">
        <v>0.51316227271837633</v>
      </c>
      <c r="D28" s="50">
        <v>1</v>
      </c>
    </row>
    <row r="29" spans="1:4">
      <c r="A29" t="s">
        <v>244</v>
      </c>
      <c r="B29" s="50">
        <v>0.25730234417382863</v>
      </c>
      <c r="C29" s="50">
        <v>0.74269765582617142</v>
      </c>
      <c r="D29" s="50">
        <v>1</v>
      </c>
    </row>
    <row r="30" spans="1:4">
      <c r="A30" t="s">
        <v>245</v>
      </c>
      <c r="B30" s="50">
        <v>0.54167046916318939</v>
      </c>
      <c r="C30" s="50">
        <v>0.45832953083681055</v>
      </c>
      <c r="D30" s="50">
        <v>1</v>
      </c>
    </row>
    <row r="31" spans="1:4">
      <c r="A31" t="s">
        <v>45</v>
      </c>
      <c r="B31" s="50">
        <v>0.45815899581589958</v>
      </c>
      <c r="C31" s="50">
        <v>0.54184100418410042</v>
      </c>
      <c r="D31" s="50">
        <v>1</v>
      </c>
    </row>
    <row r="32" spans="1:4">
      <c r="A32" t="s">
        <v>71</v>
      </c>
      <c r="B32" s="50">
        <v>0.45</v>
      </c>
      <c r="C32" s="50">
        <v>0.55000000000000004</v>
      </c>
      <c r="D32" s="50">
        <v>1</v>
      </c>
    </row>
  </sheetData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C185BA-A6CE-4C9E-BA9C-C083633BC2FD}">
  <dimension ref="A1:B44"/>
  <sheetViews>
    <sheetView topLeftCell="A9" workbookViewId="0">
      <selection activeCell="F20" sqref="F20"/>
    </sheetView>
  </sheetViews>
  <sheetFormatPr defaultRowHeight="15"/>
  <cols>
    <col min="1" max="1" width="18" bestFit="1" customWidth="1"/>
    <col min="2" max="2" width="15.85546875" style="5" bestFit="1" customWidth="1"/>
  </cols>
  <sheetData>
    <row r="1" spans="1:2">
      <c r="A1" s="12" t="s">
        <v>3</v>
      </c>
      <c r="B1" s="5" t="s">
        <v>210</v>
      </c>
    </row>
    <row r="3" spans="1:2">
      <c r="A3" s="12" t="s">
        <v>208</v>
      </c>
      <c r="B3" s="5" t="s">
        <v>209</v>
      </c>
    </row>
    <row r="4" spans="1:2">
      <c r="A4" s="13">
        <v>1</v>
      </c>
      <c r="B4" s="5">
        <v>2720.5459262193999</v>
      </c>
    </row>
    <row r="5" spans="1:2">
      <c r="A5" s="13">
        <v>3</v>
      </c>
      <c r="B5" s="5">
        <v>34352.038177708891</v>
      </c>
    </row>
    <row r="6" spans="1:2">
      <c r="A6" s="13">
        <v>4</v>
      </c>
      <c r="B6" s="5">
        <v>70031.197680562909</v>
      </c>
    </row>
    <row r="7" spans="1:2">
      <c r="A7" s="13">
        <v>5</v>
      </c>
      <c r="B7" s="5">
        <v>350</v>
      </c>
    </row>
    <row r="8" spans="1:2">
      <c r="A8" s="13">
        <v>7</v>
      </c>
      <c r="B8" s="5">
        <v>34911.872504763036</v>
      </c>
    </row>
    <row r="9" spans="1:2">
      <c r="A9" s="13">
        <v>8</v>
      </c>
      <c r="B9" s="5">
        <v>96574.526590207359</v>
      </c>
    </row>
    <row r="10" spans="1:2">
      <c r="A10" s="13">
        <v>9</v>
      </c>
      <c r="B10" s="5">
        <v>64892.403720577204</v>
      </c>
    </row>
    <row r="11" spans="1:2">
      <c r="A11" s="13">
        <v>10</v>
      </c>
      <c r="B11" s="5">
        <v>96852.167818661153</v>
      </c>
    </row>
    <row r="12" spans="1:2">
      <c r="A12" s="13">
        <v>11</v>
      </c>
      <c r="B12" s="5">
        <v>64892.403720577204</v>
      </c>
    </row>
    <row r="13" spans="1:2">
      <c r="A13" s="13">
        <v>12</v>
      </c>
      <c r="B13" s="5">
        <v>96852.167818661153</v>
      </c>
    </row>
    <row r="14" spans="1:2">
      <c r="A14" s="13">
        <v>13</v>
      </c>
      <c r="B14" s="5">
        <v>64892.403720577204</v>
      </c>
    </row>
    <row r="15" spans="1:2">
      <c r="A15" s="13">
        <v>14</v>
      </c>
      <c r="B15" s="5">
        <v>110308.05702877935</v>
      </c>
    </row>
    <row r="16" spans="1:2">
      <c r="A16" s="13">
        <v>15</v>
      </c>
      <c r="B16" s="5">
        <v>81638.827553318988</v>
      </c>
    </row>
    <row r="17" spans="1:2">
      <c r="A17" s="13">
        <v>16</v>
      </c>
      <c r="B17" s="5">
        <v>34692.955250007151</v>
      </c>
    </row>
    <row r="18" spans="1:2">
      <c r="A18" s="13">
        <v>17</v>
      </c>
      <c r="B18" s="5">
        <v>28478.932964450589</v>
      </c>
    </row>
    <row r="19" spans="1:2">
      <c r="A19" s="13">
        <v>18</v>
      </c>
      <c r="B19" s="5">
        <v>16834.911168831484</v>
      </c>
    </row>
    <row r="20" spans="1:2">
      <c r="A20" s="13">
        <v>19</v>
      </c>
      <c r="B20" s="5">
        <v>67850.810102093208</v>
      </c>
    </row>
    <row r="21" spans="1:2">
      <c r="A21" s="13">
        <v>20</v>
      </c>
      <c r="B21" s="5">
        <v>20441.473594700008</v>
      </c>
    </row>
    <row r="22" spans="1:2">
      <c r="A22" s="13">
        <v>21</v>
      </c>
      <c r="B22" s="5">
        <v>18795.590065012409</v>
      </c>
    </row>
    <row r="23" spans="1:2">
      <c r="A23" s="13">
        <v>22</v>
      </c>
      <c r="B23" s="5">
        <v>31780.6438458267</v>
      </c>
    </row>
    <row r="24" spans="1:2">
      <c r="A24" s="13">
        <v>23</v>
      </c>
      <c r="B24" s="5">
        <v>30767.021062401549</v>
      </c>
    </row>
    <row r="25" spans="1:2">
      <c r="A25" s="13">
        <v>24</v>
      </c>
      <c r="B25" s="5">
        <v>27247.071913197247</v>
      </c>
    </row>
    <row r="26" spans="1:2">
      <c r="A26" s="13">
        <v>25</v>
      </c>
      <c r="B26" s="5">
        <v>27247.071913197247</v>
      </c>
    </row>
    <row r="27" spans="1:2">
      <c r="A27" s="13">
        <v>26</v>
      </c>
      <c r="B27" s="5">
        <v>6811.262880000002</v>
      </c>
    </row>
    <row r="28" spans="1:2">
      <c r="A28" s="13">
        <v>27</v>
      </c>
      <c r="B28" s="5">
        <v>33311.262880000002</v>
      </c>
    </row>
    <row r="29" spans="1:2">
      <c r="A29" s="13">
        <v>28</v>
      </c>
      <c r="B29" s="5">
        <v>31634.519186600734</v>
      </c>
    </row>
    <row r="30" spans="1:2">
      <c r="A30" s="13">
        <v>29</v>
      </c>
      <c r="B30" s="5">
        <v>37908.546824200734</v>
      </c>
    </row>
    <row r="31" spans="1:2">
      <c r="A31" s="13">
        <v>30</v>
      </c>
      <c r="B31" s="5">
        <v>41015.939019550729</v>
      </c>
    </row>
    <row r="32" spans="1:2">
      <c r="A32" s="13">
        <v>31</v>
      </c>
      <c r="B32" s="5">
        <v>18086.895711527977</v>
      </c>
    </row>
    <row r="33" spans="1:2">
      <c r="A33" s="13">
        <v>32</v>
      </c>
      <c r="B33" s="5">
        <v>28320.210358811022</v>
      </c>
    </row>
    <row r="34" spans="1:2">
      <c r="A34" s="13">
        <v>33</v>
      </c>
      <c r="B34" s="5">
        <v>28996.226646811021</v>
      </c>
    </row>
    <row r="35" spans="1:2">
      <c r="A35" s="13">
        <v>34</v>
      </c>
      <c r="B35" s="5">
        <v>30016.390039461025</v>
      </c>
    </row>
    <row r="36" spans="1:2">
      <c r="A36" s="13">
        <v>35</v>
      </c>
      <c r="B36" s="5">
        <v>46071.728853483786</v>
      </c>
    </row>
    <row r="37" spans="1:2">
      <c r="A37" s="13">
        <v>36</v>
      </c>
      <c r="B37" s="5">
        <v>39207.966889578893</v>
      </c>
    </row>
    <row r="38" spans="1:2">
      <c r="A38" s="13">
        <v>37</v>
      </c>
      <c r="B38" s="5">
        <v>13171.943417578896</v>
      </c>
    </row>
    <row r="39" spans="1:2">
      <c r="A39" s="13">
        <v>38</v>
      </c>
      <c r="B39" s="5">
        <v>19960.05752010403</v>
      </c>
    </row>
    <row r="40" spans="1:2">
      <c r="A40" s="13">
        <v>39</v>
      </c>
      <c r="B40" s="5">
        <v>24147.417520104031</v>
      </c>
    </row>
    <row r="41" spans="1:2">
      <c r="A41" s="13">
        <v>40</v>
      </c>
      <c r="B41" s="5">
        <v>4187.3599999999997</v>
      </c>
    </row>
    <row r="42" spans="1:2">
      <c r="A42" s="13">
        <v>41</v>
      </c>
      <c r="B42" s="5">
        <v>4187.3599999999997</v>
      </c>
    </row>
    <row r="43" spans="1:2">
      <c r="A43" s="13">
        <v>42</v>
      </c>
      <c r="B43" s="5">
        <v>4187.3599999999997</v>
      </c>
    </row>
    <row r="44" spans="1:2">
      <c r="A44" s="13" t="s">
        <v>205</v>
      </c>
      <c r="B44" s="5">
        <v>1534627.5418881448</v>
      </c>
    </row>
  </sheetData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47BC87-DCB9-413C-A97B-5EC0A9C7D1AC}">
  <dimension ref="A1:N48"/>
  <sheetViews>
    <sheetView zoomScale="70" zoomScaleNormal="70" workbookViewId="0">
      <selection activeCell="F45" sqref="F45"/>
    </sheetView>
  </sheetViews>
  <sheetFormatPr defaultRowHeight="15"/>
  <cols>
    <col min="1" max="1" width="17.140625" style="3" customWidth="1"/>
    <col min="2" max="2" width="11.5703125" style="3" customWidth="1"/>
    <col min="3" max="3" width="15.42578125" style="3" customWidth="1"/>
    <col min="4" max="4" width="14.28515625" style="3" customWidth="1"/>
    <col min="5" max="5" width="10.42578125" style="49" customWidth="1"/>
    <col min="6" max="6" width="17.7109375" style="3" customWidth="1"/>
    <col min="7" max="7" width="12.85546875" style="3" customWidth="1"/>
    <col min="8" max="8" width="15" style="3" customWidth="1"/>
    <col min="9" max="9" width="12.85546875" style="3" customWidth="1"/>
    <col min="10" max="10" width="17.42578125" style="3" customWidth="1"/>
    <col min="11" max="11" width="13.85546875" customWidth="1"/>
    <col min="12" max="12" width="13.42578125" bestFit="1" customWidth="1"/>
    <col min="13" max="13" width="12.28515625" customWidth="1"/>
    <col min="14" max="14" width="16.42578125" customWidth="1"/>
  </cols>
  <sheetData>
    <row r="1" spans="1:14">
      <c r="A1" s="15" t="s">
        <v>211</v>
      </c>
      <c r="B1" s="15"/>
      <c r="C1" s="67" t="s">
        <v>212</v>
      </c>
      <c r="D1" s="68"/>
      <c r="E1" s="68"/>
      <c r="F1" s="69"/>
      <c r="G1" s="70" t="s">
        <v>213</v>
      </c>
      <c r="H1" s="71"/>
      <c r="I1" s="71"/>
      <c r="J1" s="72"/>
      <c r="K1" s="73" t="s">
        <v>214</v>
      </c>
      <c r="L1" s="74"/>
      <c r="M1" s="74"/>
      <c r="N1" s="75"/>
    </row>
    <row r="2" spans="1:14">
      <c r="A2" s="16"/>
      <c r="B2" s="16" t="s">
        <v>215</v>
      </c>
      <c r="C2" s="17" t="s">
        <v>216</v>
      </c>
      <c r="D2" s="17" t="s">
        <v>217</v>
      </c>
      <c r="E2" s="18" t="s">
        <v>218</v>
      </c>
      <c r="F2" s="19" t="s">
        <v>219</v>
      </c>
      <c r="G2" s="20" t="s">
        <v>216</v>
      </c>
      <c r="H2" s="21" t="s">
        <v>217</v>
      </c>
      <c r="I2" s="21" t="s">
        <v>218</v>
      </c>
      <c r="J2" s="22" t="s">
        <v>219</v>
      </c>
      <c r="K2" s="23" t="s">
        <v>216</v>
      </c>
      <c r="L2" s="24" t="s">
        <v>217</v>
      </c>
      <c r="M2" s="24" t="s">
        <v>218</v>
      </c>
      <c r="N2" s="25" t="s">
        <v>219</v>
      </c>
    </row>
    <row r="3" spans="1:14">
      <c r="A3" s="26"/>
      <c r="B3" s="26">
        <v>1</v>
      </c>
      <c r="C3" s="27">
        <f>IFERROR(VLOOKUP(B3,'TD - CURVA S'!$A$4:$B$43,2,0),0)</f>
        <v>2720.5459262193999</v>
      </c>
      <c r="D3" s="27">
        <f>C3</f>
        <v>2720.5459262193999</v>
      </c>
      <c r="E3" s="28">
        <f>C3/$C$48</f>
        <v>1.7727727751270176E-3</v>
      </c>
      <c r="F3" s="29">
        <f t="shared" ref="F3:F39" si="0">D3/$C$48</f>
        <v>1.7727727751270176E-3</v>
      </c>
      <c r="G3" s="30"/>
      <c r="H3" s="31"/>
      <c r="I3" s="31"/>
      <c r="J3" s="32"/>
      <c r="K3" s="33"/>
      <c r="L3" s="34"/>
      <c r="M3" s="34"/>
      <c r="N3" s="35"/>
    </row>
    <row r="4" spans="1:14">
      <c r="A4" s="36"/>
      <c r="B4" s="36">
        <v>2</v>
      </c>
      <c r="C4" s="37">
        <f>IFERROR(VLOOKUP(B4,'TD - CURVA S'!$A$4:$B$43,2,0),0)</f>
        <v>0</v>
      </c>
      <c r="D4" s="37">
        <f>C4+D3</f>
        <v>2720.5459262193999</v>
      </c>
      <c r="E4" s="38">
        <f t="shared" ref="E4:E39" si="1">C4/$C$48</f>
        <v>0</v>
      </c>
      <c r="F4" s="39">
        <f t="shared" si="0"/>
        <v>1.7727727751270176E-3</v>
      </c>
      <c r="G4" s="40"/>
      <c r="H4" s="41"/>
      <c r="I4" s="41"/>
      <c r="J4" s="42"/>
      <c r="K4" s="43"/>
      <c r="L4" s="44"/>
      <c r="M4" s="44"/>
      <c r="N4" s="45"/>
    </row>
    <row r="5" spans="1:14">
      <c r="A5" s="36"/>
      <c r="B5" s="36">
        <v>3</v>
      </c>
      <c r="C5" s="37">
        <f>IFERROR(VLOOKUP(B5,'TD - CURVA S'!$A$4:$B$43,2,0),0)</f>
        <v>34352.038177708891</v>
      </c>
      <c r="D5" s="37">
        <f>C5+D4</f>
        <v>37072.58410392829</v>
      </c>
      <c r="E5" s="38">
        <f t="shared" si="1"/>
        <v>2.2384609450866174E-2</v>
      </c>
      <c r="F5" s="39">
        <f t="shared" si="0"/>
        <v>2.4157382225993191E-2</v>
      </c>
      <c r="G5" s="40"/>
      <c r="H5" s="41"/>
      <c r="I5" s="41"/>
      <c r="J5" s="42"/>
      <c r="K5" s="43"/>
      <c r="L5" s="44"/>
      <c r="M5" s="44"/>
      <c r="N5" s="45"/>
    </row>
    <row r="6" spans="1:14">
      <c r="A6" s="36"/>
      <c r="B6" s="36">
        <v>4</v>
      </c>
      <c r="C6" s="37">
        <f>IFERROR(VLOOKUP(B6,'TD - CURVA S'!$A$4:$B$43,2,0),0)</f>
        <v>70031.197680562909</v>
      </c>
      <c r="D6" s="37">
        <f>C6+D5</f>
        <v>107103.78178449121</v>
      </c>
      <c r="E6" s="38">
        <f t="shared" si="1"/>
        <v>4.5634002889326036E-2</v>
      </c>
      <c r="F6" s="46">
        <f t="shared" si="0"/>
        <v>6.9791385115319224E-2</v>
      </c>
      <c r="G6" s="40"/>
      <c r="H6" s="41"/>
      <c r="I6" s="41"/>
      <c r="J6" s="42"/>
      <c r="K6" s="43"/>
      <c r="L6" s="44"/>
      <c r="M6" s="44"/>
      <c r="N6" s="45"/>
    </row>
    <row r="7" spans="1:14">
      <c r="A7" s="36"/>
      <c r="B7" s="36">
        <v>5</v>
      </c>
      <c r="C7" s="37">
        <f>IFERROR(VLOOKUP(B7,'TD - CURVA S'!$A$4:$B$43,2,0),0)</f>
        <v>350</v>
      </c>
      <c r="D7" s="37">
        <f t="shared" ref="D7:D27" si="2">C7+D6</f>
        <v>107453.78178449121</v>
      </c>
      <c r="E7" s="38">
        <f t="shared" si="1"/>
        <v>2.2806836867359613E-4</v>
      </c>
      <c r="F7" s="39">
        <f t="shared" si="0"/>
        <v>7.0019453483992827E-2</v>
      </c>
      <c r="G7" s="40"/>
      <c r="H7" s="41"/>
      <c r="I7" s="41"/>
      <c r="J7" s="42"/>
      <c r="K7" s="43"/>
      <c r="L7" s="44"/>
      <c r="M7" s="44"/>
      <c r="N7" s="45"/>
    </row>
    <row r="8" spans="1:14">
      <c r="A8" s="36"/>
      <c r="B8" s="36">
        <v>6</v>
      </c>
      <c r="C8" s="37">
        <f>IFERROR(VLOOKUP(B8,'TD - CURVA S'!$A$4:$B$43,2,0),0)</f>
        <v>0</v>
      </c>
      <c r="D8" s="37">
        <f t="shared" si="2"/>
        <v>107453.78178449121</v>
      </c>
      <c r="E8" s="38">
        <f t="shared" si="1"/>
        <v>0</v>
      </c>
      <c r="F8" s="39">
        <f t="shared" si="0"/>
        <v>7.0019453483992827E-2</v>
      </c>
      <c r="G8" s="40"/>
      <c r="H8" s="41"/>
      <c r="I8" s="41"/>
      <c r="J8" s="42"/>
      <c r="K8" s="43"/>
      <c r="L8" s="44"/>
      <c r="M8" s="44"/>
      <c r="N8" s="45"/>
    </row>
    <row r="9" spans="1:14">
      <c r="A9" s="36"/>
      <c r="B9" s="36">
        <v>7</v>
      </c>
      <c r="C9" s="37">
        <f>IFERROR(VLOOKUP(B9,'TD - CURVA S'!$A$4:$B$43,2,0),0)</f>
        <v>34911.872504763036</v>
      </c>
      <c r="D9" s="37">
        <f t="shared" si="2"/>
        <v>142365.65428925425</v>
      </c>
      <c r="E9" s="38">
        <f t="shared" si="1"/>
        <v>2.2749410884291086E-2</v>
      </c>
      <c r="F9" s="39">
        <f t="shared" si="0"/>
        <v>9.276886436828391E-2</v>
      </c>
      <c r="G9" s="40"/>
      <c r="H9" s="41"/>
      <c r="I9" s="41"/>
      <c r="J9" s="42"/>
      <c r="K9" s="43"/>
      <c r="L9" s="44"/>
      <c r="M9" s="44"/>
      <c r="N9" s="45"/>
    </row>
    <row r="10" spans="1:14">
      <c r="A10" s="36"/>
      <c r="B10" s="36">
        <v>8</v>
      </c>
      <c r="C10" s="37">
        <f>IFERROR(VLOOKUP(B10,'TD - CURVA S'!$A$4:$B$43,2,0),0)</f>
        <v>96574.526590207359</v>
      </c>
      <c r="D10" s="37">
        <f t="shared" si="2"/>
        <v>238940.18087946161</v>
      </c>
      <c r="E10" s="38">
        <f t="shared" si="1"/>
        <v>6.2930270671009786E-2</v>
      </c>
      <c r="F10" s="39">
        <f t="shared" si="0"/>
        <v>0.1556991350392937</v>
      </c>
      <c r="G10" s="40"/>
      <c r="H10" s="41"/>
      <c r="I10" s="41"/>
      <c r="J10" s="42"/>
      <c r="K10" s="43"/>
      <c r="L10" s="44"/>
      <c r="M10" s="44"/>
      <c r="N10" s="45"/>
    </row>
    <row r="11" spans="1:14">
      <c r="A11" s="36"/>
      <c r="B11" s="36">
        <v>9</v>
      </c>
      <c r="C11" s="37">
        <f>IFERROR(VLOOKUP(B11,'TD - CURVA S'!$A$4:$B$43,2,0),0)</f>
        <v>64892.403720577204</v>
      </c>
      <c r="D11" s="37">
        <f t="shared" si="2"/>
        <v>303832.58460003883</v>
      </c>
      <c r="E11" s="38">
        <f t="shared" si="1"/>
        <v>4.2285441873886984E-2</v>
      </c>
      <c r="F11" s="39">
        <f t="shared" si="0"/>
        <v>0.19798457691318069</v>
      </c>
      <c r="G11" s="40"/>
      <c r="H11" s="41"/>
      <c r="I11" s="41"/>
      <c r="J11" s="42"/>
      <c r="K11" s="43"/>
      <c r="L11" s="44"/>
      <c r="M11" s="44"/>
      <c r="N11" s="45"/>
    </row>
    <row r="12" spans="1:14">
      <c r="A12" s="36"/>
      <c r="B12" s="36">
        <v>10</v>
      </c>
      <c r="C12" s="37">
        <f>IFERROR(VLOOKUP(B12,'TD - CURVA S'!$A$4:$B$43,2,0),0)</f>
        <v>96852.167818661153</v>
      </c>
      <c r="D12" s="37">
        <f t="shared" si="2"/>
        <v>400684.75241869997</v>
      </c>
      <c r="E12" s="38">
        <f t="shared" si="1"/>
        <v>6.3111188334009763E-2</v>
      </c>
      <c r="F12" s="39">
        <f t="shared" si="0"/>
        <v>0.26109576524719041</v>
      </c>
      <c r="G12" s="40"/>
      <c r="H12" s="41"/>
      <c r="I12" s="41"/>
      <c r="J12" s="42"/>
      <c r="K12" s="43"/>
      <c r="L12" s="44"/>
      <c r="M12" s="44"/>
      <c r="N12" s="45"/>
    </row>
    <row r="13" spans="1:14">
      <c r="A13" s="36"/>
      <c r="B13" s="36">
        <v>11</v>
      </c>
      <c r="C13" s="37">
        <f>IFERROR(VLOOKUP(B13,'TD - CURVA S'!$A$4:$B$43,2,0),0)</f>
        <v>64892.403720577204</v>
      </c>
      <c r="D13" s="37">
        <f t="shared" si="2"/>
        <v>465577.15613927715</v>
      </c>
      <c r="E13" s="38">
        <f t="shared" si="1"/>
        <v>4.2285441873886984E-2</v>
      </c>
      <c r="F13" s="39">
        <f t="shared" si="0"/>
        <v>0.30338120712107741</v>
      </c>
      <c r="G13" s="40"/>
      <c r="H13" s="41"/>
      <c r="I13" s="41"/>
      <c r="J13" s="42"/>
      <c r="K13" s="43"/>
      <c r="L13" s="44"/>
      <c r="M13" s="44"/>
      <c r="N13" s="45"/>
    </row>
    <row r="14" spans="1:14">
      <c r="A14" s="36"/>
      <c r="B14" s="36">
        <v>12</v>
      </c>
      <c r="C14" s="37">
        <f>IFERROR(VLOOKUP(B14,'TD - CURVA S'!$A$4:$B$43,2,0),0)</f>
        <v>96852.167818661153</v>
      </c>
      <c r="D14" s="37">
        <f t="shared" si="2"/>
        <v>562429.32395793835</v>
      </c>
      <c r="E14" s="38">
        <f t="shared" si="1"/>
        <v>6.3111188334009763E-2</v>
      </c>
      <c r="F14" s="39">
        <f t="shared" si="0"/>
        <v>0.36649239545508722</v>
      </c>
      <c r="G14" s="40"/>
      <c r="H14" s="41"/>
      <c r="I14" s="41"/>
      <c r="J14" s="42"/>
      <c r="K14" s="43"/>
      <c r="L14" s="44"/>
      <c r="M14" s="44"/>
      <c r="N14" s="45"/>
    </row>
    <row r="15" spans="1:14">
      <c r="A15" s="36"/>
      <c r="B15" s="36">
        <v>13</v>
      </c>
      <c r="C15" s="37">
        <f>IFERROR(VLOOKUP(B15,'TD - CURVA S'!$A$4:$B$43,2,0),0)</f>
        <v>64892.403720577204</v>
      </c>
      <c r="D15" s="37">
        <f t="shared" si="2"/>
        <v>627321.7276785156</v>
      </c>
      <c r="E15" s="38">
        <f t="shared" si="1"/>
        <v>4.2285441873886984E-2</v>
      </c>
      <c r="F15" s="39">
        <f t="shared" si="0"/>
        <v>0.40877783732897421</v>
      </c>
      <c r="G15" s="40"/>
      <c r="H15" s="41"/>
      <c r="I15" s="41"/>
      <c r="J15" s="47"/>
      <c r="K15" s="43"/>
      <c r="L15" s="44"/>
      <c r="M15" s="44"/>
      <c r="N15" s="45"/>
    </row>
    <row r="16" spans="1:14">
      <c r="A16" s="36"/>
      <c r="B16" s="36">
        <v>14</v>
      </c>
      <c r="C16" s="37">
        <f>IFERROR(VLOOKUP(B16,'TD - CURVA S'!$A$4:$B$43,2,0),0)</f>
        <v>110308.05702877935</v>
      </c>
      <c r="D16" s="37">
        <f t="shared" si="2"/>
        <v>737629.78470729501</v>
      </c>
      <c r="E16" s="38">
        <f t="shared" si="1"/>
        <v>7.1879367480307765E-2</v>
      </c>
      <c r="F16" s="39">
        <f t="shared" si="0"/>
        <v>0.48065720480928198</v>
      </c>
      <c r="G16" s="40"/>
      <c r="H16" s="41"/>
      <c r="I16" s="41"/>
      <c r="J16" s="47"/>
      <c r="K16" s="43"/>
      <c r="L16" s="44"/>
      <c r="M16" s="44"/>
      <c r="N16" s="45"/>
    </row>
    <row r="17" spans="1:14">
      <c r="A17" s="36"/>
      <c r="B17" s="36">
        <v>15</v>
      </c>
      <c r="C17" s="37">
        <f>IFERROR(VLOOKUP(B17,'TD - CURVA S'!$A$4:$B$43,2,0),0)</f>
        <v>81638.827553318988</v>
      </c>
      <c r="D17" s="37">
        <f t="shared" si="2"/>
        <v>819268.61226061406</v>
      </c>
      <c r="E17" s="38">
        <f t="shared" si="1"/>
        <v>5.3197812058601406E-2</v>
      </c>
      <c r="F17" s="39">
        <f t="shared" si="0"/>
        <v>0.5338550168678835</v>
      </c>
      <c r="G17" s="40"/>
      <c r="H17" s="41"/>
      <c r="I17" s="41"/>
      <c r="J17" s="47"/>
      <c r="K17" s="43"/>
      <c r="L17" s="44"/>
      <c r="M17" s="44"/>
      <c r="N17" s="45"/>
    </row>
    <row r="18" spans="1:14">
      <c r="A18" s="36"/>
      <c r="B18" s="36">
        <v>16</v>
      </c>
      <c r="C18" s="37">
        <f>IFERROR(VLOOKUP(B18,'TD - CURVA S'!$A$4:$B$43,2,0),0)</f>
        <v>34692.955250007151</v>
      </c>
      <c r="D18" s="37">
        <f t="shared" si="2"/>
        <v>853961.56751062116</v>
      </c>
      <c r="E18" s="38">
        <f t="shared" si="1"/>
        <v>2.260675916667201E-2</v>
      </c>
      <c r="F18" s="39">
        <f t="shared" si="0"/>
        <v>0.55646177603455538</v>
      </c>
      <c r="G18" s="40"/>
      <c r="H18" s="41"/>
      <c r="I18" s="41"/>
      <c r="J18" s="47"/>
      <c r="K18" s="43"/>
      <c r="L18" s="44"/>
      <c r="M18" s="44"/>
      <c r="N18" s="45"/>
    </row>
    <row r="19" spans="1:14">
      <c r="A19" s="36"/>
      <c r="B19" s="36">
        <v>17</v>
      </c>
      <c r="C19" s="37">
        <f>IFERROR(VLOOKUP(B19,'TD - CURVA S'!$A$4:$B$43,2,0),0)</f>
        <v>28478.932964450589</v>
      </c>
      <c r="D19" s="37">
        <f t="shared" si="2"/>
        <v>882440.50047507172</v>
      </c>
      <c r="E19" s="38">
        <f t="shared" si="1"/>
        <v>1.855755366504842E-2</v>
      </c>
      <c r="F19" s="39">
        <f t="shared" si="0"/>
        <v>0.57501932969960379</v>
      </c>
      <c r="G19" s="40"/>
      <c r="H19" s="41"/>
      <c r="I19" s="41"/>
      <c r="J19" s="47"/>
      <c r="K19" s="43"/>
      <c r="L19" s="44"/>
      <c r="M19" s="44"/>
      <c r="N19" s="45"/>
    </row>
    <row r="20" spans="1:14">
      <c r="A20" s="36"/>
      <c r="B20" s="36">
        <v>18</v>
      </c>
      <c r="C20" s="37">
        <f>IFERROR(VLOOKUP(B20,'TD - CURVA S'!$A$4:$B$43,2,0),0)</f>
        <v>16834.911168831484</v>
      </c>
      <c r="D20" s="37">
        <f t="shared" si="2"/>
        <v>899275.41164390324</v>
      </c>
      <c r="E20" s="38">
        <f t="shared" si="1"/>
        <v>1.0970030648686572E-2</v>
      </c>
      <c r="F20" s="39">
        <f t="shared" si="0"/>
        <v>0.58598936034829041</v>
      </c>
      <c r="G20" s="40"/>
      <c r="H20" s="41"/>
      <c r="I20" s="41"/>
      <c r="J20" s="47"/>
      <c r="K20" s="43"/>
      <c r="L20" s="44"/>
      <c r="M20" s="44"/>
      <c r="N20" s="45"/>
    </row>
    <row r="21" spans="1:14">
      <c r="A21" s="36"/>
      <c r="B21" s="36">
        <v>19</v>
      </c>
      <c r="C21" s="37">
        <f>IFERROR(VLOOKUP(B21,'TD - CURVA S'!$A$4:$B$43,2,0),0)</f>
        <v>67850.810102093208</v>
      </c>
      <c r="D21" s="37">
        <f t="shared" si="2"/>
        <v>967126.2217459965</v>
      </c>
      <c r="E21" s="38">
        <f t="shared" si="1"/>
        <v>4.4213210209046727E-2</v>
      </c>
      <c r="F21" s="39">
        <f t="shared" si="0"/>
        <v>0.63020257055733719</v>
      </c>
      <c r="G21" s="40"/>
      <c r="H21" s="41"/>
      <c r="I21" s="41"/>
      <c r="J21" s="47"/>
      <c r="K21" s="43"/>
      <c r="L21" s="44"/>
      <c r="M21" s="44"/>
      <c r="N21" s="45"/>
    </row>
    <row r="22" spans="1:14">
      <c r="A22" s="36"/>
      <c r="B22" s="36">
        <v>20</v>
      </c>
      <c r="C22" s="37">
        <f>IFERROR(VLOOKUP(B22,'TD - CURVA S'!$A$4:$B$43,2,0),0)</f>
        <v>20441.473594700008</v>
      </c>
      <c r="D22" s="37">
        <f t="shared" si="2"/>
        <v>987567.69534069649</v>
      </c>
      <c r="E22" s="38">
        <f t="shared" si="1"/>
        <v>1.3320152960078919E-2</v>
      </c>
      <c r="F22" s="39">
        <f t="shared" si="0"/>
        <v>0.64352272351741613</v>
      </c>
      <c r="G22" s="40"/>
      <c r="H22" s="41"/>
      <c r="I22" s="41"/>
      <c r="J22" s="47"/>
      <c r="K22" s="43"/>
      <c r="L22" s="44"/>
      <c r="M22" s="44"/>
      <c r="N22" s="45"/>
    </row>
    <row r="23" spans="1:14">
      <c r="A23" s="36"/>
      <c r="B23" s="36">
        <v>21</v>
      </c>
      <c r="C23" s="37">
        <f>IFERROR(VLOOKUP(B23,'TD - CURVA S'!$A$4:$B$43,2,0),0)</f>
        <v>18795.590065012409</v>
      </c>
      <c r="D23" s="37">
        <f t="shared" si="2"/>
        <v>1006363.2854057089</v>
      </c>
      <c r="E23" s="38">
        <f t="shared" si="1"/>
        <v>1.2247655898242945E-2</v>
      </c>
      <c r="F23" s="39">
        <f t="shared" si="0"/>
        <v>0.65577037941565908</v>
      </c>
      <c r="G23" s="40"/>
      <c r="H23" s="41"/>
      <c r="I23" s="41"/>
      <c r="J23" s="47"/>
      <c r="K23" s="43"/>
      <c r="L23" s="44"/>
      <c r="M23" s="44"/>
      <c r="N23" s="45"/>
    </row>
    <row r="24" spans="1:14">
      <c r="A24" s="36"/>
      <c r="B24" s="36">
        <v>22</v>
      </c>
      <c r="C24" s="37">
        <f>IFERROR(VLOOKUP(B24,'TD - CURVA S'!$A$4:$B$43,2,0),0)</f>
        <v>31780.6438458267</v>
      </c>
      <c r="D24" s="37">
        <f t="shared" si="2"/>
        <v>1038143.9292515357</v>
      </c>
      <c r="E24" s="38">
        <f t="shared" si="1"/>
        <v>2.070902742089788E-2</v>
      </c>
      <c r="F24" s="39">
        <f t="shared" si="0"/>
        <v>0.67647940683655694</v>
      </c>
      <c r="G24" s="40"/>
      <c r="H24" s="41"/>
      <c r="I24" s="41"/>
      <c r="J24" s="47"/>
      <c r="K24" s="43"/>
      <c r="L24" s="44"/>
      <c r="M24" s="44"/>
      <c r="N24" s="45"/>
    </row>
    <row r="25" spans="1:14">
      <c r="A25" s="36"/>
      <c r="B25" s="36">
        <v>23</v>
      </c>
      <c r="C25" s="37">
        <f>IFERROR(VLOOKUP(B25,'TD - CURVA S'!$A$4:$B$43,2,0),0)</f>
        <v>30767.021062401549</v>
      </c>
      <c r="D25" s="37">
        <f t="shared" si="2"/>
        <v>1068910.9503139372</v>
      </c>
      <c r="E25" s="38">
        <f t="shared" si="1"/>
        <v>2.0048526578994554E-2</v>
      </c>
      <c r="F25" s="39">
        <f t="shared" si="0"/>
        <v>0.69652793341555153</v>
      </c>
      <c r="G25" s="40"/>
      <c r="H25" s="41"/>
      <c r="I25" s="41"/>
      <c r="J25" s="47"/>
      <c r="K25" s="43"/>
      <c r="L25" s="44"/>
      <c r="M25" s="44"/>
      <c r="N25" s="45"/>
    </row>
    <row r="26" spans="1:14">
      <c r="A26" s="36"/>
      <c r="B26" s="36">
        <v>24</v>
      </c>
      <c r="C26" s="37">
        <f>IFERROR(VLOOKUP(B26,'TD - CURVA S'!$A$4:$B$43,2,0),0)</f>
        <v>27247.071913197247</v>
      </c>
      <c r="D26" s="37">
        <f t="shared" si="2"/>
        <v>1096158.0222271343</v>
      </c>
      <c r="E26" s="38">
        <f t="shared" si="1"/>
        <v>1.7754843549643018E-2</v>
      </c>
      <c r="F26" s="39">
        <f t="shared" si="0"/>
        <v>0.71428277696519449</v>
      </c>
      <c r="G26" s="40"/>
      <c r="H26" s="41"/>
      <c r="I26" s="41"/>
      <c r="J26" s="47"/>
      <c r="K26" s="43"/>
      <c r="L26" s="44"/>
      <c r="M26" s="44"/>
      <c r="N26" s="45"/>
    </row>
    <row r="27" spans="1:14">
      <c r="A27" s="36"/>
      <c r="B27" s="36">
        <v>25</v>
      </c>
      <c r="C27" s="37">
        <f>IFERROR(VLOOKUP(B27,'TD - CURVA S'!$A$4:$B$43,2,0),0)</f>
        <v>27247.071913197247</v>
      </c>
      <c r="D27" s="37">
        <f t="shared" si="2"/>
        <v>1123405.0941403315</v>
      </c>
      <c r="E27" s="38">
        <f t="shared" si="1"/>
        <v>1.7754843549643018E-2</v>
      </c>
      <c r="F27" s="39">
        <f t="shared" si="0"/>
        <v>0.73203762051483745</v>
      </c>
      <c r="G27" s="40"/>
      <c r="H27" s="41"/>
      <c r="I27" s="41"/>
      <c r="J27" s="47"/>
      <c r="K27" s="43"/>
      <c r="L27" s="44"/>
      <c r="M27" s="44"/>
      <c r="N27" s="45"/>
    </row>
    <row r="28" spans="1:14">
      <c r="A28" s="36"/>
      <c r="B28" s="36">
        <v>26</v>
      </c>
      <c r="C28" s="37">
        <f>IFERROR(VLOOKUP(B28,'TD - CURVA S'!$A$4:$B$43,2,0),0)</f>
        <v>6811.262880000002</v>
      </c>
      <c r="D28" s="37">
        <f t="shared" ref="D28:D39" si="3">IF(F27=1,0,C28+D27)</f>
        <v>1130216.3570203315</v>
      </c>
      <c r="E28" s="38">
        <f t="shared" si="1"/>
        <v>4.4383817532817737E-3</v>
      </c>
      <c r="F28" s="39">
        <f t="shared" si="0"/>
        <v>0.73647600226811927</v>
      </c>
      <c r="G28" s="40"/>
      <c r="H28" s="41"/>
      <c r="I28" s="41"/>
      <c r="J28" s="47"/>
      <c r="K28" s="43"/>
      <c r="L28" s="44"/>
      <c r="M28" s="44"/>
      <c r="N28" s="45"/>
    </row>
    <row r="29" spans="1:14">
      <c r="A29" s="36"/>
      <c r="B29" s="36">
        <v>27</v>
      </c>
      <c r="C29" s="37">
        <f>IFERROR(VLOOKUP(B29,'TD - CURVA S'!$A$4:$B$43,2,0),0)</f>
        <v>33311.262880000002</v>
      </c>
      <c r="D29" s="37">
        <f t="shared" si="3"/>
        <v>1163527.6199003316</v>
      </c>
      <c r="E29" s="38">
        <f t="shared" si="1"/>
        <v>2.1706415381425481E-2</v>
      </c>
      <c r="F29" s="39">
        <f t="shared" si="0"/>
        <v>0.75818241764954475</v>
      </c>
      <c r="G29" s="40"/>
      <c r="H29" s="41"/>
      <c r="I29" s="41"/>
      <c r="J29" s="47"/>
      <c r="K29" s="43"/>
      <c r="L29" s="44"/>
      <c r="M29" s="44"/>
      <c r="N29" s="45"/>
    </row>
    <row r="30" spans="1:14">
      <c r="A30" s="36"/>
      <c r="B30" s="36">
        <v>28</v>
      </c>
      <c r="C30" s="37">
        <f>IFERROR(VLOOKUP(B30,'TD - CURVA S'!$A$4:$B$43,2,0),0)</f>
        <v>31634.519186600734</v>
      </c>
      <c r="D30" s="37">
        <f t="shared" si="3"/>
        <v>1195162.1390869324</v>
      </c>
      <c r="E30" s="38">
        <f t="shared" si="1"/>
        <v>2.061380909903316E-2</v>
      </c>
      <c r="F30" s="39">
        <f t="shared" si="0"/>
        <v>0.77879622674857796</v>
      </c>
      <c r="G30" s="40"/>
      <c r="H30" s="41"/>
      <c r="I30" s="41"/>
      <c r="J30" s="47"/>
      <c r="K30" s="43"/>
      <c r="L30" s="44"/>
      <c r="M30" s="44"/>
      <c r="N30" s="45"/>
    </row>
    <row r="31" spans="1:14">
      <c r="A31" s="36"/>
      <c r="B31" s="36">
        <v>29</v>
      </c>
      <c r="C31" s="37">
        <f>IFERROR(VLOOKUP(B31,'TD - CURVA S'!$A$4:$B$43,2,0),0)</f>
        <v>37908.546824200734</v>
      </c>
      <c r="D31" s="37">
        <f t="shared" si="3"/>
        <v>1233070.6859111332</v>
      </c>
      <c r="E31" s="38">
        <f t="shared" si="1"/>
        <v>2.4702115522805986E-2</v>
      </c>
      <c r="F31" s="39">
        <f t="shared" si="0"/>
        <v>0.80349834227138395</v>
      </c>
      <c r="G31" s="40"/>
      <c r="H31" s="41"/>
      <c r="I31" s="41"/>
      <c r="J31" s="47"/>
      <c r="K31" s="43"/>
      <c r="L31" s="44"/>
      <c r="M31" s="44"/>
      <c r="N31" s="45"/>
    </row>
    <row r="32" spans="1:14">
      <c r="A32" s="36"/>
      <c r="B32" s="36">
        <v>30</v>
      </c>
      <c r="C32" s="37">
        <f>IFERROR(VLOOKUP(B32,'TD - CURVA S'!$A$4:$B$43,2,0),0)</f>
        <v>41015.939019550729</v>
      </c>
      <c r="D32" s="37">
        <f t="shared" si="3"/>
        <v>1274086.624930684</v>
      </c>
      <c r="E32" s="38">
        <f t="shared" si="1"/>
        <v>2.6726966576584667E-2</v>
      </c>
      <c r="F32" s="39">
        <f t="shared" si="0"/>
        <v>0.83022530884796863</v>
      </c>
      <c r="G32" s="40"/>
      <c r="H32" s="41"/>
      <c r="I32" s="41"/>
      <c r="J32" s="47"/>
      <c r="K32" s="43"/>
      <c r="L32" s="44"/>
      <c r="M32" s="44"/>
      <c r="N32" s="45"/>
    </row>
    <row r="33" spans="1:14">
      <c r="A33" s="36"/>
      <c r="B33" s="36">
        <v>31</v>
      </c>
      <c r="C33" s="37">
        <f>IFERROR(VLOOKUP(B33,'TD - CURVA S'!$A$4:$B$43,2,0),0)</f>
        <v>18086.895711527977</v>
      </c>
      <c r="D33" s="37">
        <f t="shared" si="3"/>
        <v>1292173.5206422119</v>
      </c>
      <c r="E33" s="38">
        <f t="shared" si="1"/>
        <v>1.1785853712278993E-2</v>
      </c>
      <c r="F33" s="39">
        <f t="shared" si="0"/>
        <v>0.84201116256024766</v>
      </c>
      <c r="G33" s="40"/>
      <c r="H33" s="41"/>
      <c r="I33" s="41"/>
      <c r="J33" s="47"/>
      <c r="K33" s="43"/>
      <c r="L33" s="44"/>
      <c r="M33" s="44"/>
      <c r="N33" s="45"/>
    </row>
    <row r="34" spans="1:14">
      <c r="A34" s="36"/>
      <c r="B34" s="36">
        <v>32</v>
      </c>
      <c r="C34" s="37">
        <f>IFERROR(VLOOKUP(B34,'TD - CURVA S'!$A$4:$B$43,2,0),0)</f>
        <v>28320.210358811022</v>
      </c>
      <c r="D34" s="37">
        <f t="shared" si="3"/>
        <v>1320493.731001023</v>
      </c>
      <c r="E34" s="38">
        <f t="shared" si="1"/>
        <v>1.8454126220077454E-2</v>
      </c>
      <c r="F34" s="39">
        <f t="shared" si="0"/>
        <v>0.86046528878032513</v>
      </c>
      <c r="G34" s="40"/>
      <c r="H34" s="41"/>
      <c r="I34" s="41"/>
      <c r="J34" s="47"/>
      <c r="K34" s="43"/>
      <c r="L34" s="44"/>
      <c r="M34" s="44"/>
      <c r="N34" s="45"/>
    </row>
    <row r="35" spans="1:14">
      <c r="A35" s="36"/>
      <c r="B35" s="36">
        <v>33</v>
      </c>
      <c r="C35" s="37">
        <f>IFERROR(VLOOKUP(B35,'TD - CURVA S'!$A$4:$B$43,2,0),0)</f>
        <v>28996.226646811021</v>
      </c>
      <c r="D35" s="37">
        <f t="shared" si="3"/>
        <v>1349489.957647834</v>
      </c>
      <c r="E35" s="38">
        <f t="shared" si="1"/>
        <v>1.8894634597222994E-2</v>
      </c>
      <c r="F35" s="39">
        <f t="shared" si="0"/>
        <v>0.87935992337754809</v>
      </c>
      <c r="G35" s="40"/>
      <c r="H35" s="41"/>
      <c r="I35" s="41"/>
      <c r="J35" s="47"/>
      <c r="K35" s="43"/>
      <c r="L35" s="44"/>
      <c r="M35" s="44"/>
      <c r="N35" s="45"/>
    </row>
    <row r="36" spans="1:14">
      <c r="A36" s="36"/>
      <c r="B36" s="36">
        <v>34</v>
      </c>
      <c r="C36" s="37">
        <f>IFERROR(VLOOKUP(B36,'TD - CURVA S'!$A$4:$B$43,2,0),0)</f>
        <v>30016.390039461025</v>
      </c>
      <c r="D36" s="37">
        <f t="shared" si="3"/>
        <v>1379506.3476872949</v>
      </c>
      <c r="E36" s="38">
        <f t="shared" si="1"/>
        <v>1.9559397456486445E-2</v>
      </c>
      <c r="F36" s="39">
        <f t="shared" si="0"/>
        <v>0.89891932083403447</v>
      </c>
      <c r="G36" s="40"/>
      <c r="H36" s="41"/>
      <c r="I36" s="41"/>
      <c r="J36" s="47"/>
      <c r="K36" s="43"/>
      <c r="L36" s="44"/>
      <c r="M36" s="44"/>
      <c r="N36" s="45"/>
    </row>
    <row r="37" spans="1:14">
      <c r="A37" s="36"/>
      <c r="B37" s="36">
        <v>35</v>
      </c>
      <c r="C37" s="37">
        <f>IFERROR(VLOOKUP(B37,'TD - CURVA S'!$A$4:$B$43,2,0),0)</f>
        <v>46071.728853483786</v>
      </c>
      <c r="D37" s="37">
        <f t="shared" si="3"/>
        <v>1425578.0765407786</v>
      </c>
      <c r="E37" s="38">
        <f t="shared" si="1"/>
        <v>3.002144011881799E-2</v>
      </c>
      <c r="F37" s="39">
        <f t="shared" si="0"/>
        <v>0.92894076095285238</v>
      </c>
      <c r="G37" s="40"/>
      <c r="H37" s="41"/>
      <c r="I37" s="41"/>
      <c r="J37" s="47"/>
      <c r="K37" s="43"/>
      <c r="L37" s="44"/>
      <c r="M37" s="44"/>
      <c r="N37" s="45"/>
    </row>
    <row r="38" spans="1:14">
      <c r="A38" s="36"/>
      <c r="B38" s="36">
        <v>36</v>
      </c>
      <c r="C38" s="37">
        <f>IFERROR(VLOOKUP(B38,'TD - CURVA S'!$A$4:$B$43,2,0),0)</f>
        <v>39207.966889578893</v>
      </c>
      <c r="D38" s="37">
        <f t="shared" si="3"/>
        <v>1464786.0434303575</v>
      </c>
      <c r="E38" s="38">
        <f t="shared" si="1"/>
        <v>2.5548848707184654E-2</v>
      </c>
      <c r="F38" s="39">
        <f t="shared" si="0"/>
        <v>0.95448960966003704</v>
      </c>
      <c r="G38" s="40"/>
      <c r="H38" s="41"/>
      <c r="I38" s="41"/>
      <c r="J38" s="47"/>
      <c r="K38" s="43"/>
      <c r="L38" s="44"/>
      <c r="M38" s="44"/>
      <c r="N38" s="45"/>
    </row>
    <row r="39" spans="1:14">
      <c r="A39" s="36"/>
      <c r="B39" s="36">
        <v>37</v>
      </c>
      <c r="C39" s="37">
        <f>IFERROR(VLOOKUP(B39,'TD - CURVA S'!$A$4:$B$43,2,0),0)</f>
        <v>13171.943417578896</v>
      </c>
      <c r="D39" s="37">
        <f t="shared" si="3"/>
        <v>1477957.9868479364</v>
      </c>
      <c r="E39" s="38">
        <f t="shared" si="1"/>
        <v>8.5831532785946608E-3</v>
      </c>
      <c r="F39" s="39">
        <f t="shared" si="0"/>
        <v>0.96307276293863175</v>
      </c>
      <c r="G39" s="40"/>
      <c r="H39" s="41"/>
      <c r="I39" s="41"/>
      <c r="J39" s="47"/>
      <c r="K39" s="43"/>
      <c r="L39" s="44"/>
      <c r="M39" s="44"/>
      <c r="N39" s="45"/>
    </row>
    <row r="40" spans="1:14">
      <c r="A40" s="36"/>
      <c r="B40" s="36">
        <v>38</v>
      </c>
      <c r="C40" s="37">
        <f>IFERROR(VLOOKUP(B40,'TD - CURVA S'!$A$4:$B$43,2,0),0)</f>
        <v>19960.05752010403</v>
      </c>
      <c r="D40" s="37">
        <f t="shared" ref="D40:D47" si="4">IF(F39=1,0,C40+D39)</f>
        <v>1497918.0443680405</v>
      </c>
      <c r="E40" s="38">
        <f t="shared" ref="E40:E47" si="5">C40/$C$48</f>
        <v>1.3006450734975059E-2</v>
      </c>
      <c r="F40" s="39">
        <f t="shared" ref="F40:F47" si="6">D40/$C$48</f>
        <v>0.97607921367360684</v>
      </c>
      <c r="G40" s="40"/>
      <c r="H40" s="41"/>
      <c r="I40" s="41"/>
      <c r="J40" s="47"/>
      <c r="K40" s="43"/>
      <c r="L40" s="44"/>
      <c r="M40" s="44"/>
      <c r="N40" s="45"/>
    </row>
    <row r="41" spans="1:14">
      <c r="A41" s="36"/>
      <c r="B41" s="36">
        <v>39</v>
      </c>
      <c r="C41" s="37">
        <f>IFERROR(VLOOKUP(B41,'TD - CURVA S'!$A$4:$B$43,2,0),0)</f>
        <v>24147.417520104031</v>
      </c>
      <c r="D41" s="37">
        <f t="shared" si="4"/>
        <v>1522065.4618881445</v>
      </c>
      <c r="E41" s="38">
        <f t="shared" si="5"/>
        <v>1.5735034632829544E-2</v>
      </c>
      <c r="F41" s="39">
        <f t="shared" si="6"/>
        <v>0.99181424830643639</v>
      </c>
      <c r="G41" s="40"/>
      <c r="H41" s="41"/>
      <c r="I41" s="41"/>
      <c r="J41" s="47"/>
      <c r="K41" s="43"/>
      <c r="L41" s="44"/>
      <c r="M41" s="44"/>
      <c r="N41" s="45"/>
    </row>
    <row r="42" spans="1:14">
      <c r="A42" s="36"/>
      <c r="B42" s="36">
        <v>40</v>
      </c>
      <c r="C42" s="37">
        <f>IFERROR(VLOOKUP(B42,'TD - CURVA S'!$A$4:$B$43,2,0),0)</f>
        <v>4187.3599999999997</v>
      </c>
      <c r="D42" s="37">
        <f t="shared" si="4"/>
        <v>1526252.8218881446</v>
      </c>
      <c r="E42" s="38">
        <f t="shared" si="5"/>
        <v>2.728583897854484E-3</v>
      </c>
      <c r="F42" s="39">
        <f t="shared" si="6"/>
        <v>0.99454283220429085</v>
      </c>
      <c r="G42" s="40"/>
      <c r="H42" s="41"/>
      <c r="I42" s="41"/>
      <c r="J42" s="47"/>
      <c r="K42" s="43"/>
      <c r="L42" s="44"/>
      <c r="M42" s="44"/>
      <c r="N42" s="45"/>
    </row>
    <row r="43" spans="1:14">
      <c r="A43" s="36"/>
      <c r="B43" s="36">
        <v>41</v>
      </c>
      <c r="C43" s="37">
        <f>IFERROR(VLOOKUP(B43,'TD - CURVA S'!$A$4:$B$43,2,0),0)</f>
        <v>4187.3599999999997</v>
      </c>
      <c r="D43" s="37">
        <f t="shared" si="4"/>
        <v>1530440.1818881447</v>
      </c>
      <c r="E43" s="38">
        <f t="shared" si="5"/>
        <v>2.728583897854484E-3</v>
      </c>
      <c r="F43" s="39">
        <f t="shared" si="6"/>
        <v>0.99727141610214542</v>
      </c>
      <c r="G43" s="40"/>
      <c r="H43" s="41"/>
      <c r="I43" s="41"/>
      <c r="J43" s="47"/>
      <c r="K43" s="43"/>
      <c r="L43" s="44"/>
      <c r="M43" s="44"/>
      <c r="N43" s="45"/>
    </row>
    <row r="44" spans="1:14">
      <c r="A44" s="36"/>
      <c r="B44" s="36">
        <v>42</v>
      </c>
      <c r="C44" s="37">
        <f>IFERROR(VLOOKUP(B44,'TD - CURVA S'!$A$4:$B$43,2,0),0)</f>
        <v>4187.3599999999997</v>
      </c>
      <c r="D44" s="37">
        <f t="shared" si="4"/>
        <v>1534627.5418881448</v>
      </c>
      <c r="E44" s="38">
        <f t="shared" si="5"/>
        <v>2.728583897854484E-3</v>
      </c>
      <c r="F44" s="39">
        <f t="shared" si="6"/>
        <v>1</v>
      </c>
      <c r="G44" s="40"/>
      <c r="H44" s="41"/>
      <c r="I44" s="41"/>
      <c r="J44" s="47"/>
      <c r="K44" s="43"/>
      <c r="L44" s="44"/>
      <c r="M44" s="44"/>
      <c r="N44" s="45"/>
    </row>
    <row r="45" spans="1:14">
      <c r="A45" s="36"/>
      <c r="B45" s="36">
        <v>43</v>
      </c>
      <c r="C45" s="37">
        <f>IFERROR(VLOOKUP(B45,'TD - CURVA S'!$A$4:$B$43,2,0),0)</f>
        <v>0</v>
      </c>
      <c r="D45" s="37">
        <f t="shared" si="4"/>
        <v>0</v>
      </c>
      <c r="E45" s="38">
        <f t="shared" si="5"/>
        <v>0</v>
      </c>
      <c r="F45" s="39">
        <f t="shared" si="6"/>
        <v>0</v>
      </c>
      <c r="G45" s="40"/>
      <c r="H45" s="41"/>
      <c r="I45" s="41"/>
      <c r="J45" s="47"/>
      <c r="K45" s="43"/>
      <c r="L45" s="44"/>
      <c r="M45" s="44"/>
      <c r="N45" s="45"/>
    </row>
    <row r="46" spans="1:14">
      <c r="A46" s="36"/>
      <c r="B46" s="36">
        <v>44</v>
      </c>
      <c r="C46" s="37">
        <f>IFERROR(VLOOKUP(B46,'TD - CURVA S'!$A$4:$B$43,2,0),0)</f>
        <v>0</v>
      </c>
      <c r="D46" s="37">
        <f t="shared" si="4"/>
        <v>0</v>
      </c>
      <c r="E46" s="38">
        <f t="shared" si="5"/>
        <v>0</v>
      </c>
      <c r="F46" s="39">
        <f t="shared" si="6"/>
        <v>0</v>
      </c>
      <c r="G46" s="40"/>
      <c r="H46" s="41"/>
      <c r="I46" s="41"/>
      <c r="J46" s="47"/>
      <c r="K46" s="43"/>
      <c r="L46" s="44"/>
      <c r="M46" s="44"/>
      <c r="N46" s="45"/>
    </row>
    <row r="47" spans="1:14">
      <c r="A47" s="36"/>
      <c r="B47" s="36">
        <v>45</v>
      </c>
      <c r="C47" s="37">
        <f>IFERROR(VLOOKUP(B47,'TD - CURVA S'!$A$4:$B$43,2,0),0)</f>
        <v>0</v>
      </c>
      <c r="D47" s="37">
        <f t="shared" si="4"/>
        <v>0</v>
      </c>
      <c r="E47" s="38">
        <f t="shared" si="5"/>
        <v>0</v>
      </c>
      <c r="F47" s="39">
        <f t="shared" si="6"/>
        <v>0</v>
      </c>
      <c r="G47" s="40"/>
      <c r="H47" s="41"/>
      <c r="I47" s="41"/>
      <c r="J47" s="47"/>
      <c r="K47" s="43"/>
      <c r="L47" s="44"/>
      <c r="M47" s="44"/>
      <c r="N47" s="45"/>
    </row>
    <row r="48" spans="1:14">
      <c r="C48" s="48">
        <f>SUM(C3:C47)</f>
        <v>1534627.5418881448</v>
      </c>
    </row>
  </sheetData>
  <mergeCells count="3">
    <mergeCell ref="C1:F1"/>
    <mergeCell ref="G1:J1"/>
    <mergeCell ref="K1:N1"/>
  </mergeCells>
  <pageMargins left="0.511811024" right="0.511811024" top="0.78740157499999996" bottom="0.78740157499999996" header="0.31496062000000002" footer="0.31496062000000002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0F049B-28FB-43E3-BEA5-FD35AF341B33}">
  <dimension ref="A1:F16"/>
  <sheetViews>
    <sheetView workbookViewId="0">
      <selection activeCell="F7" sqref="F7:F15"/>
    </sheetView>
  </sheetViews>
  <sheetFormatPr defaultRowHeight="15"/>
  <cols>
    <col min="1" max="1" width="18" bestFit="1" customWidth="1"/>
    <col min="2" max="2" width="15.85546875" style="5" bestFit="1" customWidth="1"/>
    <col min="5" max="5" width="18" bestFit="1" customWidth="1"/>
    <col min="6" max="6" width="15.140625" bestFit="1" customWidth="1"/>
  </cols>
  <sheetData>
    <row r="1" spans="1:6">
      <c r="A1" s="12" t="s">
        <v>3</v>
      </c>
      <c r="B1" t="s">
        <v>210</v>
      </c>
      <c r="E1" s="12" t="s">
        <v>3</v>
      </c>
      <c r="F1" t="s">
        <v>210</v>
      </c>
    </row>
    <row r="3" spans="1:6">
      <c r="A3" s="12" t="s">
        <v>208</v>
      </c>
      <c r="B3" t="s">
        <v>262</v>
      </c>
      <c r="E3" s="12" t="s">
        <v>208</v>
      </c>
      <c r="F3" t="s">
        <v>264</v>
      </c>
    </row>
    <row r="4" spans="1:6">
      <c r="A4" s="13" t="s">
        <v>250</v>
      </c>
      <c r="B4" s="14">
        <v>104237.57324312572</v>
      </c>
      <c r="E4" s="13" t="s">
        <v>250</v>
      </c>
      <c r="F4" s="14">
        <v>8415.1790105752934</v>
      </c>
    </row>
    <row r="5" spans="1:6">
      <c r="A5" s="56" t="s">
        <v>251</v>
      </c>
      <c r="B5" s="14">
        <v>46676.596421862632</v>
      </c>
      <c r="E5" s="55" t="s">
        <v>252</v>
      </c>
      <c r="F5" s="14">
        <v>8415.1790105752934</v>
      </c>
    </row>
    <row r="6" spans="1:6">
      <c r="A6" s="56" t="s">
        <v>252</v>
      </c>
      <c r="B6" s="14">
        <v>57560.976821263095</v>
      </c>
      <c r="E6" s="13" t="s">
        <v>253</v>
      </c>
      <c r="F6" s="14">
        <v>1027710.5852701141</v>
      </c>
    </row>
    <row r="7" spans="1:6">
      <c r="A7" s="57" t="s">
        <v>253</v>
      </c>
      <c r="B7" s="14">
        <v>394264.20436432929</v>
      </c>
      <c r="E7" s="55" t="s">
        <v>254</v>
      </c>
      <c r="F7" s="14">
        <v>151203.69828428308</v>
      </c>
    </row>
    <row r="8" spans="1:6">
      <c r="A8" s="58" t="s">
        <v>254</v>
      </c>
      <c r="B8" s="14">
        <v>94899.951807593854</v>
      </c>
      <c r="E8" s="55" t="s">
        <v>255</v>
      </c>
      <c r="F8" s="14">
        <v>246811.69520753541</v>
      </c>
    </row>
    <row r="9" spans="1:6">
      <c r="A9" s="58" t="s">
        <v>255</v>
      </c>
      <c r="B9" s="14">
        <v>53689.087222132446</v>
      </c>
      <c r="E9" s="55" t="s">
        <v>256</v>
      </c>
      <c r="F9" s="14">
        <v>228492.75621417604</v>
      </c>
    </row>
    <row r="10" spans="1:6">
      <c r="A10" s="58" t="s">
        <v>256</v>
      </c>
      <c r="B10" s="14">
        <v>62043.75551117296</v>
      </c>
      <c r="E10" s="55" t="s">
        <v>257</v>
      </c>
      <c r="F10" s="14">
        <v>72020.42959196103</v>
      </c>
    </row>
    <row r="11" spans="1:6">
      <c r="A11" s="58" t="s">
        <v>257</v>
      </c>
      <c r="B11" s="14">
        <v>47418.094010735971</v>
      </c>
      <c r="E11" s="55" t="s">
        <v>258</v>
      </c>
      <c r="F11" s="14">
        <v>57305.129960090475</v>
      </c>
    </row>
    <row r="12" spans="1:6">
      <c r="A12" s="58" t="s">
        <v>258</v>
      </c>
      <c r="B12" s="14">
        <v>39839.143561963145</v>
      </c>
      <c r="E12" s="55" t="s">
        <v>259</v>
      </c>
      <c r="F12" s="14">
        <v>78726.642286620656</v>
      </c>
    </row>
    <row r="13" spans="1:6">
      <c r="A13" s="58" t="s">
        <v>259</v>
      </c>
      <c r="B13" s="14">
        <v>59038.920542710526</v>
      </c>
      <c r="E13" s="55" t="s">
        <v>260</v>
      </c>
      <c r="F13" s="14">
        <v>85552.428744913515</v>
      </c>
    </row>
    <row r="14" spans="1:6">
      <c r="A14" s="58" t="s">
        <v>260</v>
      </c>
      <c r="B14" s="14">
        <v>22748.846124504489</v>
      </c>
      <c r="E14" s="55" t="s">
        <v>261</v>
      </c>
      <c r="F14" s="14">
        <v>105728.07351278716</v>
      </c>
    </row>
    <row r="15" spans="1:6">
      <c r="A15" s="58" t="s">
        <v>261</v>
      </c>
      <c r="B15" s="14">
        <v>14586.405583515916</v>
      </c>
      <c r="E15" s="55" t="s">
        <v>263</v>
      </c>
      <c r="F15" s="14">
        <v>1869.7314677466509</v>
      </c>
    </row>
    <row r="16" spans="1:6">
      <c r="A16" s="13" t="s">
        <v>205</v>
      </c>
      <c r="B16" s="14">
        <v>498501.77760745509</v>
      </c>
      <c r="E16" s="13" t="s">
        <v>205</v>
      </c>
      <c r="F16" s="14">
        <v>1036125.7642806893</v>
      </c>
    </row>
  </sheetData>
  <pageMargins left="0.511811024" right="0.511811024" top="0.78740157499999996" bottom="0.78740157499999996" header="0.31496062000000002" footer="0.31496062000000002"/>
  <pageSetup paperSize="9" orientation="portrait"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400761-FFD1-484B-84BC-BB2C458AA147}">
  <dimension ref="D1:Q7"/>
  <sheetViews>
    <sheetView zoomScaleNormal="100" workbookViewId="0">
      <selection activeCell="N24" sqref="N24:O24"/>
    </sheetView>
  </sheetViews>
  <sheetFormatPr defaultRowHeight="15"/>
  <cols>
    <col min="4" max="4" width="18.140625" bestFit="1" customWidth="1"/>
    <col min="5" max="14" width="20.7109375" customWidth="1"/>
    <col min="15" max="15" width="22.28515625" customWidth="1"/>
  </cols>
  <sheetData>
    <row r="1" spans="4:17">
      <c r="D1" s="1" t="s">
        <v>268</v>
      </c>
    </row>
    <row r="2" spans="4:17">
      <c r="D2" s="16" t="s">
        <v>265</v>
      </c>
      <c r="E2" s="62">
        <v>44501</v>
      </c>
      <c r="F2" s="62">
        <v>44531</v>
      </c>
      <c r="G2" s="62">
        <v>44562</v>
      </c>
      <c r="H2" s="62">
        <v>44593</v>
      </c>
      <c r="I2" s="62">
        <v>44621</v>
      </c>
      <c r="J2" s="62">
        <v>44652</v>
      </c>
      <c r="K2" s="62">
        <v>44682</v>
      </c>
      <c r="L2" s="62">
        <v>44713</v>
      </c>
      <c r="M2" s="62">
        <v>44743</v>
      </c>
      <c r="N2" s="62">
        <v>44774</v>
      </c>
      <c r="O2" s="62">
        <v>44805</v>
      </c>
    </row>
    <row r="3" spans="4:17">
      <c r="D3" s="63" t="s">
        <v>266</v>
      </c>
      <c r="E3" s="5">
        <v>46676.596421862632</v>
      </c>
      <c r="F3" s="5">
        <v>57560.976821263095</v>
      </c>
      <c r="G3" s="97">
        <v>94899.951807593854</v>
      </c>
      <c r="H3" s="97">
        <v>53689.087222132446</v>
      </c>
      <c r="I3" s="97">
        <v>62043.75551117296</v>
      </c>
      <c r="J3" s="97">
        <v>47418.094010735971</v>
      </c>
      <c r="K3" s="97">
        <v>39839.143561963145</v>
      </c>
      <c r="L3" s="97">
        <v>59038.920542710526</v>
      </c>
      <c r="M3" s="97">
        <v>22748.846124504489</v>
      </c>
      <c r="N3" s="97">
        <v>14586.405583515916</v>
      </c>
      <c r="O3" s="64"/>
    </row>
    <row r="4" spans="4:17" ht="15.75" thickBot="1">
      <c r="D4" s="65" t="s">
        <v>267</v>
      </c>
      <c r="E4" s="66"/>
      <c r="F4" s="66">
        <v>8415.1790105752934</v>
      </c>
      <c r="G4" s="5">
        <v>151203.69828428308</v>
      </c>
      <c r="H4" s="5">
        <v>246811.69520753541</v>
      </c>
      <c r="I4" s="5">
        <v>228492.75621417604</v>
      </c>
      <c r="J4" s="5">
        <v>72020.42959196103</v>
      </c>
      <c r="K4" s="5">
        <v>57305.129960090475</v>
      </c>
      <c r="L4" s="5">
        <v>78726.642286620656</v>
      </c>
      <c r="M4" s="5">
        <v>85552.428744913515</v>
      </c>
      <c r="N4" s="5">
        <v>105728.07351278716</v>
      </c>
      <c r="O4" s="5">
        <v>1869.7314677466509</v>
      </c>
    </row>
    <row r="5" spans="4:17" ht="15.75" thickBot="1">
      <c r="D5" s="59" t="s">
        <v>189</v>
      </c>
      <c r="E5" s="60">
        <f t="shared" ref="E5:O5" si="0">E4+E3</f>
        <v>46676.596421862632</v>
      </c>
      <c r="F5" s="60">
        <f t="shared" si="0"/>
        <v>65976.15583183839</v>
      </c>
      <c r="G5" s="60">
        <f t="shared" si="0"/>
        <v>246103.65009187692</v>
      </c>
      <c r="H5" s="60">
        <f t="shared" si="0"/>
        <v>300500.78242966783</v>
      </c>
      <c r="I5" s="60">
        <f t="shared" si="0"/>
        <v>290536.511725349</v>
      </c>
      <c r="J5" s="60">
        <f t="shared" si="0"/>
        <v>119438.52360269701</v>
      </c>
      <c r="K5" s="60">
        <f t="shared" si="0"/>
        <v>97144.273522053612</v>
      </c>
      <c r="L5" s="60">
        <f t="shared" si="0"/>
        <v>137765.56282933117</v>
      </c>
      <c r="M5" s="60">
        <f t="shared" si="0"/>
        <v>108301.274869418</v>
      </c>
      <c r="N5" s="60">
        <f t="shared" si="0"/>
        <v>120314.47909630308</v>
      </c>
      <c r="O5" s="61">
        <f t="shared" si="0"/>
        <v>1869.7314677466509</v>
      </c>
      <c r="Q5" t="s">
        <v>287</v>
      </c>
    </row>
    <row r="6" spans="4:17" ht="15.75" thickBot="1">
      <c r="Q6" t="s">
        <v>288</v>
      </c>
    </row>
    <row r="7" spans="4:17" ht="15.75" thickBot="1">
      <c r="Q7" s="98" t="s">
        <v>285</v>
      </c>
    </row>
  </sheetData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71DA7E-24A7-4F46-82FB-7DFE0B68B6F9}">
  <dimension ref="B1:AG56"/>
  <sheetViews>
    <sheetView showGridLines="0" tabSelected="1" zoomScale="55" zoomScaleNormal="55" workbookViewId="0">
      <selection activeCell="R55" sqref="R55"/>
    </sheetView>
  </sheetViews>
  <sheetFormatPr defaultRowHeight="15"/>
  <cols>
    <col min="2" max="2" width="9.140625" style="76"/>
    <col min="3" max="3" width="36.140625" style="83" customWidth="1"/>
    <col min="4" max="4" width="10.7109375" style="78" customWidth="1"/>
    <col min="5" max="21" width="10.7109375" style="76" customWidth="1"/>
    <col min="22" max="22" width="2.140625" style="76" customWidth="1"/>
    <col min="23" max="23" width="23.42578125" style="76" customWidth="1"/>
    <col min="24" max="24" width="13.5703125" style="79" customWidth="1"/>
    <col min="25" max="25" width="14.42578125" bestFit="1" customWidth="1"/>
  </cols>
  <sheetData>
    <row r="1" spans="2:24">
      <c r="C1" s="77" t="s">
        <v>269</v>
      </c>
    </row>
    <row r="2" spans="2:24">
      <c r="C2" s="77"/>
    </row>
    <row r="3" spans="2:24">
      <c r="C3" s="80" t="s">
        <v>270</v>
      </c>
      <c r="D3" s="81"/>
      <c r="E3" s="82"/>
    </row>
    <row r="4" spans="2:24">
      <c r="C4" s="77"/>
      <c r="D4" s="82"/>
      <c r="E4" s="82"/>
    </row>
    <row r="5" spans="2:24" ht="15.75" thickBot="1"/>
    <row r="6" spans="2:24" s="87" customFormat="1" ht="15.75" thickBot="1">
      <c r="B6" s="84"/>
      <c r="C6" s="83"/>
      <c r="D6" s="85">
        <v>44470</v>
      </c>
      <c r="E6" s="85">
        <v>44501</v>
      </c>
      <c r="F6" s="85">
        <v>44531</v>
      </c>
      <c r="G6" s="85">
        <v>44562</v>
      </c>
      <c r="H6" s="85">
        <v>44593</v>
      </c>
      <c r="I6" s="85">
        <v>44621</v>
      </c>
      <c r="J6" s="85">
        <v>44652</v>
      </c>
      <c r="K6" s="85">
        <v>44682</v>
      </c>
      <c r="L6" s="85">
        <v>44713</v>
      </c>
      <c r="M6" s="85">
        <v>44743</v>
      </c>
      <c r="N6" s="85">
        <v>44774</v>
      </c>
      <c r="O6" s="85">
        <v>44805</v>
      </c>
      <c r="P6" s="85">
        <v>44835</v>
      </c>
      <c r="Q6" s="85">
        <v>44866</v>
      </c>
      <c r="R6" s="85">
        <v>44896</v>
      </c>
      <c r="S6" s="85">
        <v>44927</v>
      </c>
      <c r="T6" s="85">
        <v>44958</v>
      </c>
      <c r="U6" s="85">
        <v>44986</v>
      </c>
      <c r="V6" s="84"/>
      <c r="W6" s="85" t="s">
        <v>189</v>
      </c>
      <c r="X6" s="86"/>
    </row>
    <row r="7" spans="2:24" ht="24.95" customHeight="1" thickBot="1">
      <c r="C7" s="88" t="s">
        <v>271</v>
      </c>
      <c r="D7" s="89">
        <f t="shared" ref="D7:U7" si="0">D38</f>
        <v>0</v>
      </c>
      <c r="E7" s="89">
        <f t="shared" si="0"/>
        <v>200000</v>
      </c>
      <c r="F7" s="89">
        <f t="shared" si="0"/>
        <v>200000</v>
      </c>
      <c r="G7" s="89">
        <f t="shared" si="0"/>
        <v>400000</v>
      </c>
      <c r="H7" s="89">
        <f t="shared" si="0"/>
        <v>600000</v>
      </c>
      <c r="I7" s="89">
        <f t="shared" si="0"/>
        <v>600000</v>
      </c>
      <c r="J7" s="89">
        <f t="shared" si="0"/>
        <v>400000</v>
      </c>
      <c r="K7" s="89">
        <f t="shared" si="0"/>
        <v>200000</v>
      </c>
      <c r="L7" s="89">
        <f t="shared" si="0"/>
        <v>200000</v>
      </c>
      <c r="M7" s="89">
        <f t="shared" si="0"/>
        <v>200000</v>
      </c>
      <c r="N7" s="89">
        <f t="shared" si="0"/>
        <v>200000</v>
      </c>
      <c r="O7" s="89">
        <f t="shared" si="0"/>
        <v>0</v>
      </c>
      <c r="P7" s="89">
        <f t="shared" si="0"/>
        <v>0</v>
      </c>
      <c r="Q7" s="89">
        <f t="shared" si="0"/>
        <v>0</v>
      </c>
      <c r="R7" s="89">
        <f t="shared" si="0"/>
        <v>0</v>
      </c>
      <c r="S7" s="89">
        <f t="shared" si="0"/>
        <v>0</v>
      </c>
      <c r="T7" s="89">
        <f t="shared" si="0"/>
        <v>0</v>
      </c>
      <c r="U7" s="89">
        <f t="shared" si="0"/>
        <v>0</v>
      </c>
      <c r="V7" s="90"/>
      <c r="W7" s="89">
        <f>SUM(D7:U7)</f>
        <v>3200000</v>
      </c>
    </row>
    <row r="8" spans="2:24" ht="24.95" customHeight="1" thickBot="1">
      <c r="C8" s="88" t="s">
        <v>272</v>
      </c>
      <c r="D8" s="89">
        <f t="shared" ref="D8:U8" si="1">D45</f>
        <v>130800</v>
      </c>
      <c r="E8" s="89">
        <f t="shared" si="1"/>
        <v>131746.59642186263</v>
      </c>
      <c r="F8" s="89">
        <f t="shared" si="1"/>
        <v>139246.15583183838</v>
      </c>
      <c r="G8" s="89">
        <f t="shared" si="1"/>
        <v>355523.65009187692</v>
      </c>
      <c r="H8" s="89">
        <f t="shared" si="1"/>
        <v>434620.78242966783</v>
      </c>
      <c r="I8" s="89">
        <f t="shared" si="1"/>
        <v>424006.511725349</v>
      </c>
      <c r="J8" s="89">
        <f t="shared" si="1"/>
        <v>222958.52360269701</v>
      </c>
      <c r="K8" s="89">
        <f t="shared" si="1"/>
        <v>165214.27352205361</v>
      </c>
      <c r="L8" s="89">
        <f t="shared" si="1"/>
        <v>207535.56282933117</v>
      </c>
      <c r="M8" s="89">
        <f t="shared" si="1"/>
        <v>175471.274869418</v>
      </c>
      <c r="N8" s="89">
        <f t="shared" si="1"/>
        <v>186884.47909630308</v>
      </c>
      <c r="O8" s="89">
        <f t="shared" si="1"/>
        <v>49239.731467746649</v>
      </c>
      <c r="P8" s="89">
        <f t="shared" si="1"/>
        <v>19</v>
      </c>
      <c r="Q8" s="89">
        <f t="shared" si="1"/>
        <v>0</v>
      </c>
      <c r="R8" s="89">
        <f t="shared" si="1"/>
        <v>0</v>
      </c>
      <c r="S8" s="89">
        <f t="shared" si="1"/>
        <v>0</v>
      </c>
      <c r="T8" s="89">
        <f t="shared" si="1"/>
        <v>0</v>
      </c>
      <c r="U8" s="89">
        <f t="shared" si="1"/>
        <v>0</v>
      </c>
      <c r="V8" s="90"/>
      <c r="W8" s="89">
        <f>SUM(D8:U8)</f>
        <v>2623266.5418881448</v>
      </c>
    </row>
    <row r="9" spans="2:24" ht="24.95" customHeight="1" thickBot="1"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</row>
    <row r="10" spans="2:24" ht="24.95" customHeight="1" thickBot="1">
      <c r="C10" s="91" t="s">
        <v>273</v>
      </c>
      <c r="D10" s="92">
        <f>D7-D8</f>
        <v>-130800</v>
      </c>
      <c r="E10" s="92">
        <f t="shared" ref="E10:U10" si="2">E7-E8</f>
        <v>68253.403578137368</v>
      </c>
      <c r="F10" s="92">
        <f t="shared" si="2"/>
        <v>60753.844168161624</v>
      </c>
      <c r="G10" s="92">
        <f t="shared" si="2"/>
        <v>44476.349908123084</v>
      </c>
      <c r="H10" s="92">
        <f t="shared" si="2"/>
        <v>165379.21757033217</v>
      </c>
      <c r="I10" s="92">
        <f t="shared" si="2"/>
        <v>175993.488274651</v>
      </c>
      <c r="J10" s="92">
        <f t="shared" si="2"/>
        <v>177041.47639730299</v>
      </c>
      <c r="K10" s="92">
        <f t="shared" si="2"/>
        <v>34785.726477946388</v>
      </c>
      <c r="L10" s="92">
        <f t="shared" si="2"/>
        <v>-7535.5628293311747</v>
      </c>
      <c r="M10" s="92">
        <f t="shared" si="2"/>
        <v>24528.725130581995</v>
      </c>
      <c r="N10" s="92">
        <f t="shared" si="2"/>
        <v>13115.520903696917</v>
      </c>
      <c r="O10" s="92">
        <f t="shared" si="2"/>
        <v>-49239.731467746649</v>
      </c>
      <c r="P10" s="92">
        <f t="shared" si="2"/>
        <v>-19</v>
      </c>
      <c r="Q10" s="92">
        <f t="shared" si="2"/>
        <v>0</v>
      </c>
      <c r="R10" s="92">
        <f t="shared" si="2"/>
        <v>0</v>
      </c>
      <c r="S10" s="92">
        <f t="shared" si="2"/>
        <v>0</v>
      </c>
      <c r="T10" s="92">
        <f t="shared" si="2"/>
        <v>0</v>
      </c>
      <c r="U10" s="92">
        <f t="shared" si="2"/>
        <v>0</v>
      </c>
      <c r="V10" s="90"/>
      <c r="W10" s="92">
        <f>SUM(D10:U10)</f>
        <v>576733.45811185567</v>
      </c>
    </row>
    <row r="11" spans="2:24" ht="24.95" customHeight="1" thickBot="1">
      <c r="C11" s="91" t="s">
        <v>274</v>
      </c>
      <c r="D11" s="92">
        <f>D10</f>
        <v>-130800</v>
      </c>
      <c r="E11" s="92">
        <f>+E10+D11</f>
        <v>-62546.596421862632</v>
      </c>
      <c r="F11" s="92">
        <f t="shared" ref="F11:U11" si="3">+F10+E11</f>
        <v>-1792.7522537010082</v>
      </c>
      <c r="G11" s="92">
        <f t="shared" si="3"/>
        <v>42683.597654422076</v>
      </c>
      <c r="H11" s="92">
        <f t="shared" si="3"/>
        <v>208062.81522475425</v>
      </c>
      <c r="I11" s="92">
        <f t="shared" si="3"/>
        <v>384056.30349940527</v>
      </c>
      <c r="J11" s="92">
        <f t="shared" si="3"/>
        <v>561097.77989670821</v>
      </c>
      <c r="K11" s="92">
        <f t="shared" si="3"/>
        <v>595883.50637465459</v>
      </c>
      <c r="L11" s="92">
        <f t="shared" si="3"/>
        <v>588347.94354532345</v>
      </c>
      <c r="M11" s="92">
        <f t="shared" si="3"/>
        <v>612876.66867590544</v>
      </c>
      <c r="N11" s="92">
        <f t="shared" si="3"/>
        <v>625992.18957960233</v>
      </c>
      <c r="O11" s="92">
        <f t="shared" si="3"/>
        <v>576752.45811185567</v>
      </c>
      <c r="P11" s="92">
        <f t="shared" si="3"/>
        <v>576733.45811185567</v>
      </c>
      <c r="Q11" s="92">
        <f t="shared" si="3"/>
        <v>576733.45811185567</v>
      </c>
      <c r="R11" s="92">
        <f t="shared" si="3"/>
        <v>576733.45811185567</v>
      </c>
      <c r="S11" s="92">
        <f t="shared" si="3"/>
        <v>576733.45811185567</v>
      </c>
      <c r="T11" s="92">
        <f t="shared" si="3"/>
        <v>576733.45811185567</v>
      </c>
      <c r="U11" s="92">
        <f t="shared" si="3"/>
        <v>576733.45811185567</v>
      </c>
      <c r="V11" s="90"/>
      <c r="W11"/>
    </row>
    <row r="12" spans="2:24" ht="24.95" customHeight="1">
      <c r="B12"/>
      <c r="C12" s="13"/>
      <c r="D12" s="3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</row>
    <row r="31" spans="31:33">
      <c r="AE31" s="93"/>
      <c r="AG31" s="94"/>
    </row>
    <row r="32" spans="31:33">
      <c r="AE32" s="93"/>
      <c r="AG32" s="94"/>
    </row>
    <row r="33" spans="2:33">
      <c r="AE33" s="93"/>
      <c r="AG33" s="94"/>
    </row>
    <row r="34" spans="2:33">
      <c r="AE34" s="93"/>
      <c r="AG34" s="94"/>
    </row>
    <row r="37" spans="2:33" ht="15.75" thickBot="1"/>
    <row r="38" spans="2:33" ht="24.95" customHeight="1" thickBot="1">
      <c r="C38" s="88" t="s">
        <v>275</v>
      </c>
      <c r="D38" s="89">
        <v>0</v>
      </c>
      <c r="E38" s="89">
        <f>E39*E40</f>
        <v>200000</v>
      </c>
      <c r="F38" s="89">
        <f t="shared" ref="F38:U38" si="4">F39*F40</f>
        <v>200000</v>
      </c>
      <c r="G38" s="89">
        <f t="shared" si="4"/>
        <v>400000</v>
      </c>
      <c r="H38" s="89">
        <f t="shared" si="4"/>
        <v>600000</v>
      </c>
      <c r="I38" s="89">
        <f t="shared" si="4"/>
        <v>600000</v>
      </c>
      <c r="J38" s="89">
        <f t="shared" si="4"/>
        <v>400000</v>
      </c>
      <c r="K38" s="89">
        <f t="shared" si="4"/>
        <v>200000</v>
      </c>
      <c r="L38" s="89">
        <f t="shared" si="4"/>
        <v>200000</v>
      </c>
      <c r="M38" s="89">
        <f t="shared" si="4"/>
        <v>200000</v>
      </c>
      <c r="N38" s="89">
        <f t="shared" si="4"/>
        <v>200000</v>
      </c>
      <c r="O38" s="89">
        <f t="shared" si="4"/>
        <v>0</v>
      </c>
      <c r="P38" s="89">
        <f t="shared" si="4"/>
        <v>0</v>
      </c>
      <c r="Q38" s="89">
        <f t="shared" si="4"/>
        <v>0</v>
      </c>
      <c r="R38" s="89">
        <f t="shared" si="4"/>
        <v>0</v>
      </c>
      <c r="S38" s="89">
        <f t="shared" si="4"/>
        <v>0</v>
      </c>
      <c r="T38" s="89">
        <f t="shared" si="4"/>
        <v>0</v>
      </c>
      <c r="U38" s="89">
        <f t="shared" si="4"/>
        <v>0</v>
      </c>
      <c r="W38" s="95">
        <f>SUM(D38:U38)</f>
        <v>3200000</v>
      </c>
      <c r="X38" s="96"/>
      <c r="Y38" s="97"/>
    </row>
    <row r="39" spans="2:33" ht="24.95" customHeight="1" thickBot="1">
      <c r="C39" s="98" t="s">
        <v>276</v>
      </c>
      <c r="D39" s="99">
        <v>0</v>
      </c>
      <c r="E39" s="99">
        <v>1</v>
      </c>
      <c r="F39" s="99">
        <v>1</v>
      </c>
      <c r="G39" s="99">
        <v>2</v>
      </c>
      <c r="H39" s="99">
        <v>3</v>
      </c>
      <c r="I39" s="99">
        <v>3</v>
      </c>
      <c r="J39" s="99">
        <v>2</v>
      </c>
      <c r="K39" s="99">
        <v>1</v>
      </c>
      <c r="L39" s="99">
        <v>1</v>
      </c>
      <c r="M39" s="99">
        <v>1</v>
      </c>
      <c r="N39" s="99">
        <v>1</v>
      </c>
      <c r="O39" s="99"/>
      <c r="P39" s="99"/>
      <c r="Q39" s="99"/>
      <c r="R39" s="99"/>
      <c r="S39" s="99"/>
      <c r="T39" s="99"/>
      <c r="U39" s="99"/>
      <c r="W39" s="100">
        <f>SUM(D39:U39)</f>
        <v>16</v>
      </c>
    </row>
    <row r="40" spans="2:33" ht="30" customHeight="1" thickBot="1">
      <c r="C40" s="101" t="s">
        <v>277</v>
      </c>
      <c r="D40" s="102">
        <v>0</v>
      </c>
      <c r="E40" s="102">
        <v>200000</v>
      </c>
      <c r="F40" s="102">
        <v>200000</v>
      </c>
      <c r="G40" s="102">
        <v>200000</v>
      </c>
      <c r="H40" s="102">
        <v>200000</v>
      </c>
      <c r="I40" s="102">
        <v>200000</v>
      </c>
      <c r="J40" s="102">
        <v>200000</v>
      </c>
      <c r="K40" s="102">
        <v>200000</v>
      </c>
      <c r="L40" s="102">
        <v>200000</v>
      </c>
      <c r="M40" s="102">
        <v>200000</v>
      </c>
      <c r="N40" s="102">
        <v>200000</v>
      </c>
      <c r="O40" s="102">
        <v>200000</v>
      </c>
      <c r="P40" s="102">
        <v>200000</v>
      </c>
      <c r="Q40" s="102">
        <v>200000</v>
      </c>
      <c r="R40" s="102">
        <v>200000</v>
      </c>
      <c r="S40" s="102">
        <v>200000</v>
      </c>
      <c r="T40" s="102">
        <v>200000</v>
      </c>
      <c r="U40" s="102">
        <v>200000</v>
      </c>
      <c r="W40" s="103"/>
    </row>
    <row r="41" spans="2:33">
      <c r="W41" s="104"/>
    </row>
    <row r="42" spans="2:33">
      <c r="W42" s="104"/>
    </row>
    <row r="43" spans="2:33" ht="15.75" thickBot="1">
      <c r="W43" s="104"/>
    </row>
    <row r="44" spans="2:33" ht="15.75" thickBot="1">
      <c r="D44" s="85">
        <f>D6</f>
        <v>44470</v>
      </c>
      <c r="E44" s="85">
        <f t="shared" ref="E44:U44" si="5">E6</f>
        <v>44501</v>
      </c>
      <c r="F44" s="85">
        <f t="shared" si="5"/>
        <v>44531</v>
      </c>
      <c r="G44" s="85">
        <f t="shared" si="5"/>
        <v>44562</v>
      </c>
      <c r="H44" s="85">
        <f t="shared" si="5"/>
        <v>44593</v>
      </c>
      <c r="I44" s="85">
        <f t="shared" si="5"/>
        <v>44621</v>
      </c>
      <c r="J44" s="85">
        <f t="shared" si="5"/>
        <v>44652</v>
      </c>
      <c r="K44" s="85">
        <f t="shared" si="5"/>
        <v>44682</v>
      </c>
      <c r="L44" s="85">
        <f t="shared" si="5"/>
        <v>44713</v>
      </c>
      <c r="M44" s="85">
        <f t="shared" si="5"/>
        <v>44743</v>
      </c>
      <c r="N44" s="85">
        <f t="shared" si="5"/>
        <v>44774</v>
      </c>
      <c r="O44" s="85">
        <f t="shared" si="5"/>
        <v>44805</v>
      </c>
      <c r="P44" s="85">
        <f t="shared" si="5"/>
        <v>44835</v>
      </c>
      <c r="Q44" s="85">
        <f t="shared" si="5"/>
        <v>44866</v>
      </c>
      <c r="R44" s="85">
        <f t="shared" si="5"/>
        <v>44896</v>
      </c>
      <c r="S44" s="85">
        <f t="shared" si="5"/>
        <v>44927</v>
      </c>
      <c r="T44" s="85">
        <f t="shared" si="5"/>
        <v>44958</v>
      </c>
      <c r="U44" s="85">
        <f t="shared" si="5"/>
        <v>44986</v>
      </c>
      <c r="V44" s="84"/>
      <c r="W44" s="85" t="s">
        <v>189</v>
      </c>
    </row>
    <row r="45" spans="2:33" ht="24.95" customHeight="1" thickBot="1">
      <c r="C45" s="88" t="s">
        <v>278</v>
      </c>
      <c r="D45" s="89">
        <f>D47+D48+D50++D52+D56+D53+D54+D55+D49</f>
        <v>130800</v>
      </c>
      <c r="E45" s="89">
        <f t="shared" ref="E45:U45" si="6">E47+E48+E50++E52+E56+E53+E54+E55+E49</f>
        <v>131746.59642186263</v>
      </c>
      <c r="F45" s="89">
        <f t="shared" si="6"/>
        <v>139246.15583183838</v>
      </c>
      <c r="G45" s="89">
        <f t="shared" si="6"/>
        <v>355523.65009187692</v>
      </c>
      <c r="H45" s="89">
        <f t="shared" si="6"/>
        <v>434620.78242966783</v>
      </c>
      <c r="I45" s="89">
        <f t="shared" si="6"/>
        <v>424006.511725349</v>
      </c>
      <c r="J45" s="89">
        <f t="shared" si="6"/>
        <v>222958.52360269701</v>
      </c>
      <c r="K45" s="89">
        <f t="shared" si="6"/>
        <v>165214.27352205361</v>
      </c>
      <c r="L45" s="89">
        <f t="shared" si="6"/>
        <v>207535.56282933117</v>
      </c>
      <c r="M45" s="89">
        <f t="shared" si="6"/>
        <v>175471.274869418</v>
      </c>
      <c r="N45" s="89">
        <f t="shared" si="6"/>
        <v>186884.47909630308</v>
      </c>
      <c r="O45" s="89">
        <f t="shared" si="6"/>
        <v>49239.731467746649</v>
      </c>
      <c r="P45" s="89">
        <f t="shared" si="6"/>
        <v>19</v>
      </c>
      <c r="Q45" s="89">
        <f t="shared" si="6"/>
        <v>0</v>
      </c>
      <c r="R45" s="89">
        <f t="shared" si="6"/>
        <v>0</v>
      </c>
      <c r="S45" s="89">
        <f t="shared" si="6"/>
        <v>0</v>
      </c>
      <c r="T45" s="89">
        <f t="shared" si="6"/>
        <v>0</v>
      </c>
      <c r="U45" s="89">
        <f t="shared" si="6"/>
        <v>0</v>
      </c>
      <c r="W45" s="95">
        <f>W47+W48+W49+W50+W52+W53+W54+W55+W56</f>
        <v>2623266.5418881443</v>
      </c>
    </row>
    <row r="46" spans="2:33" ht="9.75" customHeight="1" thickBot="1">
      <c r="C46" s="77"/>
      <c r="W46" s="104"/>
    </row>
    <row r="47" spans="2:33" ht="24.95" customHeight="1" thickBot="1">
      <c r="B47" s="105" t="s">
        <v>279</v>
      </c>
      <c r="C47" s="98" t="s">
        <v>280</v>
      </c>
      <c r="D47" s="102">
        <v>130800</v>
      </c>
      <c r="E47" s="102"/>
      <c r="F47" s="102"/>
      <c r="G47" s="102"/>
      <c r="H47" s="102"/>
      <c r="I47" s="102"/>
      <c r="J47" s="102"/>
      <c r="K47" s="102"/>
      <c r="L47" s="102"/>
      <c r="M47" s="102"/>
      <c r="N47" s="102"/>
      <c r="O47" s="102"/>
      <c r="P47" s="102"/>
      <c r="Q47" s="102"/>
      <c r="R47" s="102"/>
      <c r="S47" s="102"/>
      <c r="T47" s="102"/>
      <c r="U47" s="102"/>
      <c r="V47" s="90"/>
      <c r="W47" s="106">
        <f t="shared" ref="W47:W50" si="7">SUM(D47:U47)</f>
        <v>130800</v>
      </c>
    </row>
    <row r="48" spans="2:33" ht="24.95" customHeight="1" thickBot="1">
      <c r="B48" s="105"/>
      <c r="C48" s="98" t="s">
        <v>281</v>
      </c>
      <c r="D48" s="102"/>
      <c r="E48" s="102"/>
      <c r="F48" s="102"/>
      <c r="G48" s="102"/>
      <c r="H48" s="102"/>
      <c r="I48" s="102"/>
      <c r="J48" s="102"/>
      <c r="K48" s="102"/>
      <c r="L48" s="102"/>
      <c r="M48" s="102"/>
      <c r="N48" s="102"/>
      <c r="O48" s="102">
        <v>11000</v>
      </c>
      <c r="P48" s="102"/>
      <c r="Q48" s="102"/>
      <c r="R48" s="102"/>
      <c r="S48" s="102"/>
      <c r="T48" s="102"/>
      <c r="U48" s="102"/>
      <c r="V48" s="90"/>
      <c r="W48" s="106">
        <f t="shared" si="7"/>
        <v>11000</v>
      </c>
    </row>
    <row r="49" spans="2:25" ht="24.95" customHeight="1" thickBot="1">
      <c r="B49" s="105"/>
      <c r="C49" s="98" t="s">
        <v>282</v>
      </c>
      <c r="D49" s="102"/>
      <c r="E49" s="102">
        <f>97900/11</f>
        <v>8900</v>
      </c>
      <c r="F49" s="102">
        <v>8900</v>
      </c>
      <c r="G49" s="102">
        <v>8900</v>
      </c>
      <c r="H49" s="102">
        <v>8900</v>
      </c>
      <c r="I49" s="102">
        <v>8900</v>
      </c>
      <c r="J49" s="102">
        <v>8900</v>
      </c>
      <c r="K49" s="102">
        <v>8900</v>
      </c>
      <c r="L49" s="102">
        <v>8900</v>
      </c>
      <c r="M49" s="102">
        <v>8900</v>
      </c>
      <c r="N49" s="102">
        <v>8900</v>
      </c>
      <c r="O49" s="102">
        <v>8900</v>
      </c>
      <c r="P49" s="102"/>
      <c r="Q49" s="102"/>
      <c r="R49" s="102"/>
      <c r="S49" s="102"/>
      <c r="T49" s="102"/>
      <c r="U49" s="102"/>
      <c r="V49" s="90"/>
      <c r="W49" s="106">
        <f t="shared" si="7"/>
        <v>97900</v>
      </c>
    </row>
    <row r="50" spans="2:25" ht="24.95" customHeight="1" thickBot="1">
      <c r="B50" s="105"/>
      <c r="C50" s="98" t="s">
        <v>283</v>
      </c>
      <c r="D50" s="107">
        <f t="shared" ref="D50:U50" si="8">$X$50*D39</f>
        <v>0</v>
      </c>
      <c r="E50" s="102">
        <f t="shared" si="8"/>
        <v>31200</v>
      </c>
      <c r="F50" s="102">
        <f t="shared" si="8"/>
        <v>31200</v>
      </c>
      <c r="G50" s="102">
        <f t="shared" si="8"/>
        <v>62400</v>
      </c>
      <c r="H50" s="102">
        <f t="shared" si="8"/>
        <v>93600</v>
      </c>
      <c r="I50" s="102">
        <f t="shared" si="8"/>
        <v>93600</v>
      </c>
      <c r="J50" s="102">
        <f t="shared" si="8"/>
        <v>62400</v>
      </c>
      <c r="K50" s="102">
        <f t="shared" si="8"/>
        <v>31200</v>
      </c>
      <c r="L50" s="102">
        <f t="shared" si="8"/>
        <v>31200</v>
      </c>
      <c r="M50" s="102">
        <f t="shared" si="8"/>
        <v>31200</v>
      </c>
      <c r="N50" s="102">
        <f t="shared" si="8"/>
        <v>31200</v>
      </c>
      <c r="O50" s="102">
        <f t="shared" si="8"/>
        <v>0</v>
      </c>
      <c r="P50" s="102">
        <f t="shared" si="8"/>
        <v>0</v>
      </c>
      <c r="Q50" s="102">
        <f t="shared" si="8"/>
        <v>0</v>
      </c>
      <c r="R50" s="102">
        <f t="shared" si="8"/>
        <v>0</v>
      </c>
      <c r="S50" s="102">
        <f t="shared" si="8"/>
        <v>0</v>
      </c>
      <c r="T50" s="102">
        <f t="shared" si="8"/>
        <v>0</v>
      </c>
      <c r="U50" s="102">
        <f t="shared" si="8"/>
        <v>0</v>
      </c>
      <c r="V50" s="90"/>
      <c r="W50" s="106">
        <f t="shared" si="7"/>
        <v>499200</v>
      </c>
      <c r="X50" s="108">
        <v>31200</v>
      </c>
    </row>
    <row r="51" spans="2:25" ht="15.75" thickBot="1">
      <c r="D51" s="109"/>
      <c r="E51" s="90"/>
      <c r="F51" s="90"/>
      <c r="G51" s="90"/>
      <c r="H51" s="90"/>
      <c r="I51" s="90"/>
      <c r="J51" s="90"/>
      <c r="K51" s="90"/>
      <c r="L51" s="90"/>
      <c r="M51" s="90"/>
      <c r="N51" s="90"/>
      <c r="O51" s="90"/>
      <c r="P51" s="90"/>
      <c r="Q51" s="90"/>
      <c r="R51" s="90"/>
      <c r="S51" s="90"/>
      <c r="T51" s="90"/>
      <c r="U51" s="90"/>
      <c r="V51" s="90"/>
      <c r="W51" s="110"/>
    </row>
    <row r="52" spans="2:25" ht="24.95" customHeight="1" thickBot="1">
      <c r="B52" s="111" t="s">
        <v>284</v>
      </c>
      <c r="C52" s="98" t="s">
        <v>285</v>
      </c>
      <c r="D52" s="102"/>
      <c r="E52" s="102">
        <f>'FC - EDIFICAÇÃO'!E5</f>
        <v>46676.596421862632</v>
      </c>
      <c r="F52" s="102">
        <f>'FC - EDIFICAÇÃO'!F5</f>
        <v>65976.15583183839</v>
      </c>
      <c r="G52" s="102">
        <f>'FC - EDIFICAÇÃO'!G5</f>
        <v>246103.65009187692</v>
      </c>
      <c r="H52" s="102">
        <f>'FC - EDIFICAÇÃO'!H5</f>
        <v>300500.78242966783</v>
      </c>
      <c r="I52" s="102">
        <f>'FC - EDIFICAÇÃO'!I5</f>
        <v>290536.511725349</v>
      </c>
      <c r="J52" s="102">
        <f>'FC - EDIFICAÇÃO'!J5</f>
        <v>119438.52360269701</v>
      </c>
      <c r="K52" s="102">
        <f>'FC - EDIFICAÇÃO'!K5</f>
        <v>97144.273522053612</v>
      </c>
      <c r="L52" s="102">
        <f>'FC - EDIFICAÇÃO'!L5</f>
        <v>137765.56282933117</v>
      </c>
      <c r="M52" s="102">
        <f>'FC - EDIFICAÇÃO'!M5</f>
        <v>108301.274869418</v>
      </c>
      <c r="N52" s="102">
        <f>'FC - EDIFICAÇÃO'!N5</f>
        <v>120314.47909630308</v>
      </c>
      <c r="O52" s="102">
        <f>'FC - EDIFICAÇÃO'!O5</f>
        <v>1869.7314677466509</v>
      </c>
      <c r="P52" s="102">
        <v>19</v>
      </c>
      <c r="Q52" s="102"/>
      <c r="R52" s="102"/>
      <c r="S52" s="102"/>
      <c r="T52" s="102"/>
      <c r="U52" s="102"/>
      <c r="V52" s="90"/>
      <c r="W52" s="106">
        <f t="shared" ref="W52:W56" si="9">SUM(D52:U52)</f>
        <v>1534646.5418881443</v>
      </c>
      <c r="Y52" s="112"/>
    </row>
    <row r="53" spans="2:25" ht="24.95" customHeight="1" thickBot="1">
      <c r="B53" s="111"/>
      <c r="C53" s="98" t="s">
        <v>280</v>
      </c>
      <c r="D53" s="102"/>
      <c r="E53" s="102">
        <v>18500</v>
      </c>
      <c r="F53" s="102"/>
      <c r="G53" s="102">
        <v>1000</v>
      </c>
      <c r="H53" s="102"/>
      <c r="I53" s="102"/>
      <c r="J53" s="102">
        <f>250</f>
        <v>250</v>
      </c>
      <c r="K53" s="102"/>
      <c r="L53" s="102">
        <v>1200</v>
      </c>
      <c r="M53" s="102"/>
      <c r="N53" s="102"/>
      <c r="O53" s="102"/>
      <c r="P53" s="102"/>
      <c r="Q53" s="102"/>
      <c r="R53" s="102"/>
      <c r="S53" s="102"/>
      <c r="T53" s="102"/>
      <c r="U53" s="102"/>
      <c r="V53" s="90"/>
      <c r="W53" s="106">
        <f t="shared" si="9"/>
        <v>20950</v>
      </c>
    </row>
    <row r="54" spans="2:25" ht="24.95" customHeight="1" thickBot="1">
      <c r="B54" s="111"/>
      <c r="C54" s="98" t="s">
        <v>281</v>
      </c>
      <c r="D54" s="102"/>
      <c r="E54" s="102"/>
      <c r="F54" s="102">
        <v>1000</v>
      </c>
      <c r="G54" s="102"/>
      <c r="H54" s="102"/>
      <c r="I54" s="102"/>
      <c r="J54" s="102">
        <v>1000</v>
      </c>
      <c r="K54" s="102"/>
      <c r="L54" s="102"/>
      <c r="M54" s="102">
        <v>100</v>
      </c>
      <c r="N54" s="102"/>
      <c r="O54" s="102">
        <v>1000</v>
      </c>
      <c r="P54" s="102"/>
      <c r="Q54" s="102"/>
      <c r="R54" s="102"/>
      <c r="S54" s="102"/>
      <c r="T54" s="102"/>
      <c r="U54" s="102"/>
      <c r="V54" s="90"/>
      <c r="W54" s="106">
        <f t="shared" si="9"/>
        <v>3100</v>
      </c>
    </row>
    <row r="55" spans="2:25" ht="24.95" customHeight="1" thickBot="1">
      <c r="B55" s="111"/>
      <c r="C55" s="98" t="s">
        <v>282</v>
      </c>
      <c r="D55" s="102"/>
      <c r="E55" s="102">
        <f>291170/11</f>
        <v>26470</v>
      </c>
      <c r="F55" s="102">
        <v>26470</v>
      </c>
      <c r="G55" s="102">
        <v>26470</v>
      </c>
      <c r="H55" s="102">
        <v>26470</v>
      </c>
      <c r="I55" s="102">
        <v>26470</v>
      </c>
      <c r="J55" s="102">
        <v>26470</v>
      </c>
      <c r="K55" s="102">
        <v>26470</v>
      </c>
      <c r="L55" s="102">
        <v>26470</v>
      </c>
      <c r="M55" s="102">
        <v>26470</v>
      </c>
      <c r="N55" s="102">
        <v>26470</v>
      </c>
      <c r="O55" s="102">
        <v>26470</v>
      </c>
      <c r="P55" s="102"/>
      <c r="Q55" s="102"/>
      <c r="R55" s="102"/>
      <c r="S55" s="102"/>
      <c r="T55" s="102"/>
      <c r="U55" s="102"/>
      <c r="V55" s="90"/>
      <c r="W55" s="106">
        <f>SUM(D55:U55)</f>
        <v>291170</v>
      </c>
    </row>
    <row r="56" spans="2:25" ht="24.95" customHeight="1" thickBot="1">
      <c r="B56" s="111"/>
      <c r="C56" s="98" t="s">
        <v>286</v>
      </c>
      <c r="D56" s="102"/>
      <c r="E56" s="102">
        <v>0</v>
      </c>
      <c r="F56" s="102">
        <v>5700</v>
      </c>
      <c r="G56" s="102">
        <v>10650</v>
      </c>
      <c r="H56" s="102">
        <v>5150</v>
      </c>
      <c r="I56" s="102">
        <v>4500</v>
      </c>
      <c r="J56" s="102">
        <v>4500</v>
      </c>
      <c r="K56" s="102">
        <v>1500</v>
      </c>
      <c r="L56" s="102">
        <v>2000</v>
      </c>
      <c r="M56" s="102">
        <v>500</v>
      </c>
      <c r="N56" s="102">
        <v>0</v>
      </c>
      <c r="O56" s="102">
        <v>0</v>
      </c>
      <c r="P56" s="102"/>
      <c r="Q56" s="102"/>
      <c r="R56" s="102"/>
      <c r="S56" s="102"/>
      <c r="T56" s="102"/>
      <c r="U56" s="102"/>
      <c r="V56" s="90"/>
      <c r="W56" s="106">
        <f t="shared" si="9"/>
        <v>34500</v>
      </c>
    </row>
  </sheetData>
  <mergeCells count="4">
    <mergeCell ref="AE31:AE34"/>
    <mergeCell ref="AG31:AG34"/>
    <mergeCell ref="B47:B50"/>
    <mergeCell ref="B52:B56"/>
  </mergeCells>
  <pageMargins left="0.511811024" right="0.511811024" top="0.78740157499999996" bottom="0.78740157499999996" header="0.31496062000000002" footer="0.31496062000000002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9</vt:i4>
      </vt:variant>
    </vt:vector>
  </HeadingPairs>
  <TitlesOfParts>
    <vt:vector size="9" baseType="lpstr">
      <vt:lpstr>SEMANAS</vt:lpstr>
      <vt:lpstr>CUSTO ATIVIDADE</vt:lpstr>
      <vt:lpstr>BANCO DE DADOS</vt:lpstr>
      <vt:lpstr>MT-MO</vt:lpstr>
      <vt:lpstr>TD - CURVA S</vt:lpstr>
      <vt:lpstr>CURVA S</vt:lpstr>
      <vt:lpstr>TD - FC</vt:lpstr>
      <vt:lpstr>FC - EDIFICAÇÃO</vt:lpstr>
      <vt:lpstr>FLUXO DE CAIXA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Natacha Sauer</dc:creator>
  <cp:lastModifiedBy>Natacha Sauer</cp:lastModifiedBy>
  <dcterms:created xsi:type="dcterms:W3CDTF">2021-12-06T17:07:53Z</dcterms:created>
  <dcterms:modified xsi:type="dcterms:W3CDTF">2021-12-08T16:10:30Z</dcterms:modified>
</cp:coreProperties>
</file>