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dione_sandra/Documents/Suporte FDM/Suporte FDM 2025/"/>
    </mc:Choice>
  </mc:AlternateContent>
  <xr:revisionPtr revIDLastSave="0" documentId="8_{AE836923-8439-0544-98FC-941F7B90D05D}" xr6:coauthVersionLast="47" xr6:coauthVersionMax="47" xr10:uidLastSave="{00000000-0000-0000-0000-000000000000}"/>
  <bookViews>
    <workbookView xWindow="0" yWindow="740" windowWidth="25200" windowHeight="17220" xr2:uid="{00000000-000D-0000-FFFF-FFFF00000000}"/>
  </bookViews>
  <sheets>
    <sheet name="Instruções" sheetId="6" r:id="rId1"/>
    <sheet name="Simplificado" sheetId="5" r:id="rId2"/>
    <sheet name="Detalhad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2" l="1"/>
  <c r="L12" i="2"/>
  <c r="J12" i="2"/>
  <c r="L7" i="2"/>
  <c r="J7" i="2"/>
  <c r="P19" i="2" l="1"/>
  <c r="P21" i="2"/>
  <c r="L20" i="2" s="1"/>
  <c r="P21" i="5" l="1"/>
  <c r="N20" i="5" s="1"/>
  <c r="P19" i="5"/>
  <c r="F5" i="5"/>
  <c r="X2" i="2"/>
  <c r="W2" i="2"/>
  <c r="L11" i="2"/>
  <c r="E8" i="2" s="1"/>
  <c r="F12" i="5" l="1"/>
  <c r="F13" i="5" s="1"/>
  <c r="X4" i="2"/>
  <c r="X5" i="2"/>
  <c r="X6" i="2"/>
  <c r="X7" i="2"/>
  <c r="X8" i="2"/>
  <c r="N16" i="5" l="1"/>
  <c r="L16" i="5" s="1"/>
  <c r="L21" i="5"/>
  <c r="F7" i="5" l="1"/>
  <c r="L15" i="2"/>
  <c r="L14" i="2"/>
  <c r="N16" i="2" l="1"/>
  <c r="K4" i="2"/>
  <c r="L6" i="2" l="1"/>
  <c r="L21" i="2" l="1"/>
  <c r="L19" i="2"/>
  <c r="L18" i="2"/>
  <c r="L10" i="2"/>
  <c r="L9" i="2"/>
  <c r="L5" i="2"/>
  <c r="D7" i="2" l="1"/>
  <c r="F4" i="2"/>
  <c r="E7" i="2" s="1"/>
  <c r="D8" i="2"/>
  <c r="F14" i="2" l="1"/>
  <c r="L16" i="2"/>
  <c r="E6" i="2" s="1"/>
  <c r="D6" i="2" s="1"/>
  <c r="F15" i="2" l="1"/>
  <c r="C18" i="2" s="1"/>
  <c r="F6" i="2" l="1"/>
  <c r="H5" i="2" s="1"/>
  <c r="C11" i="2" s="1"/>
  <c r="F9" i="5"/>
  <c r="L20" i="5"/>
  <c r="C15" i="5" l="1"/>
</calcChain>
</file>

<file path=xl/sharedStrings.xml><?xml version="1.0" encoding="utf-8"?>
<sst xmlns="http://schemas.openxmlformats.org/spreadsheetml/2006/main" count="85" uniqueCount="55">
  <si>
    <t>Opções de Cartões de Crédito:</t>
  </si>
  <si>
    <t>Cartão que pontua nos Programas de Banco</t>
  </si>
  <si>
    <t>/ US$ gasto</t>
  </si>
  <si>
    <t>Valor cobrado pelo App (taxas)</t>
  </si>
  <si>
    <t>Valor do pagamento:</t>
  </si>
  <si>
    <t>em %</t>
  </si>
  <si>
    <t>em R$</t>
  </si>
  <si>
    <t>Taxa cobrada pelo App</t>
  </si>
  <si>
    <t>Cashback (em milhas) oferecido pelo cartão:</t>
  </si>
  <si>
    <t>Cartão Nubank</t>
  </si>
  <si>
    <t>Lucro</t>
  </si>
  <si>
    <t>Cashback Total</t>
  </si>
  <si>
    <t>Dinheiro aplicado (rendimento)</t>
  </si>
  <si>
    <t>Selic</t>
  </si>
  <si>
    <t>% CDI</t>
  </si>
  <si>
    <t>Rendimento da Aplicação:</t>
  </si>
  <si>
    <t>IOF (regressivo)</t>
  </si>
  <si>
    <t>IR (até 180 dias)</t>
  </si>
  <si>
    <t>IOF</t>
  </si>
  <si>
    <t>Alíquota</t>
  </si>
  <si>
    <t>Dias</t>
  </si>
  <si>
    <t>Transferência para (cia aérea):</t>
  </si>
  <si>
    <t>Cia Aérea</t>
  </si>
  <si>
    <t>Latam</t>
  </si>
  <si>
    <t>Smiles</t>
  </si>
  <si>
    <t>TAP</t>
  </si>
  <si>
    <t>Avios</t>
  </si>
  <si>
    <t>Azul</t>
  </si>
  <si>
    <t>Valor de Segurança</t>
  </si>
  <si>
    <t>Valor de Segurança do Milheiro</t>
  </si>
  <si>
    <t>Quantidade de milhas geradas:</t>
  </si>
  <si>
    <r>
      <t xml:space="preserve">Cálculo 2:
</t>
    </r>
    <r>
      <rPr>
        <b/>
        <sz val="11.5"/>
        <color theme="1"/>
        <rFont val="Calibri"/>
        <family val="2"/>
        <scheme val="minor"/>
      </rPr>
      <t>CUSTO</t>
    </r>
    <r>
      <rPr>
        <sz val="11.5"/>
        <color theme="1"/>
        <rFont val="Calibri"/>
        <family val="2"/>
        <scheme val="minor"/>
      </rPr>
      <t xml:space="preserve"> do Milheiro</t>
    </r>
  </si>
  <si>
    <t>Custo do Milheiro gerado:</t>
  </si>
  <si>
    <t>Cotação do dólar:</t>
  </si>
  <si>
    <t>Pontuação do Cartão (por dólar gasto):</t>
  </si>
  <si>
    <t xml:space="preserve">Qual é o seu cartão de crédito? </t>
  </si>
  <si>
    <t>Cartão Co-Branded (pontua nas cias aéreas)</t>
  </si>
  <si>
    <t>Transferência (p/ as cias aéreas) com Bônus de:</t>
  </si>
  <si>
    <t>Dinheiro aplicado (rendimento):</t>
  </si>
  <si>
    <t>Selic:</t>
  </si>
  <si>
    <t>Valor de Venda do Milheiro (nas cias aéreas):</t>
  </si>
  <si>
    <t>Percentual de taxas cobrado pelo App:</t>
  </si>
  <si>
    <r>
      <t xml:space="preserve">Lucro </t>
    </r>
    <r>
      <rPr>
        <sz val="12"/>
        <color rgb="FFD6A300"/>
        <rFont val="Calibri"/>
        <family val="2"/>
        <scheme val="minor"/>
      </rPr>
      <t>(cashback - taxas)</t>
    </r>
  </si>
  <si>
    <t>AAdvantage</t>
  </si>
  <si>
    <t>Cartão com Cashback em dinheiro</t>
  </si>
  <si>
    <r>
      <rPr>
        <sz val="20"/>
        <color theme="0"/>
        <rFont val="Calibri"/>
        <family val="2"/>
        <scheme val="minor"/>
      </rPr>
      <t>Calculadora de Pontos dos Cartões de Crédito</t>
    </r>
    <r>
      <rPr>
        <b/>
        <sz val="20"/>
        <color theme="0"/>
        <rFont val="Calibri"/>
        <family val="2"/>
        <scheme val="minor"/>
      </rPr>
      <t xml:space="preserve"> - Instruções</t>
    </r>
  </si>
  <si>
    <t>Cashback Oferecido pelo App (em R$):</t>
  </si>
  <si>
    <t>Cashback ganho do App de Pagamento:</t>
  </si>
  <si>
    <t>Dias úteis:</t>
  </si>
  <si>
    <t>Dias corridos</t>
  </si>
  <si>
    <t>= cashbacks - taxas</t>
  </si>
  <si>
    <r>
      <t xml:space="preserve">Cálculo 1: 
</t>
    </r>
    <r>
      <rPr>
        <b/>
        <sz val="11.5"/>
        <color theme="1"/>
        <rFont val="Calibri"/>
        <family val="2"/>
        <scheme val="minor"/>
      </rPr>
      <t>TOTAL DE CASHBACK</t>
    </r>
    <r>
      <rPr>
        <sz val="11.5"/>
        <color theme="1"/>
        <rFont val="Calibri"/>
        <family val="2"/>
        <scheme val="minor"/>
      </rPr>
      <t xml:space="preserve"> </t>
    </r>
  </si>
  <si>
    <t>Transferência (p/ as cias aéreas) com bônus de:</t>
  </si>
  <si>
    <t>Data do Pagamento da fatura do Cartão:</t>
  </si>
  <si>
    <t>Data do Pagamento do Boleto no Aplicativo: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</si>
</sst>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#,##0.00;[Red]\-&quot;R$&quot;#,##0.00"/>
    <numFmt numFmtId="165" formatCode="&quot;R$&quot;#,##0.00"/>
    <numFmt numFmtId="166" formatCode="0.0000%"/>
    <numFmt numFmtId="167" formatCode="&quot;R$&quot;#,##0.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2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7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b/>
      <sz val="12"/>
      <color rgb="FFD6A300"/>
      <name val="Calibri"/>
      <family val="2"/>
      <scheme val="minor"/>
    </font>
    <font>
      <sz val="12"/>
      <color rgb="FFD6A3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6"/>
      <color rgb="FF1F1F1F"/>
      <name val="Arial"/>
      <family val="2"/>
    </font>
    <font>
      <sz val="11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0FF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99FF"/>
      </left>
      <right style="thin">
        <color rgb="FF0099FF"/>
      </right>
      <top style="thin">
        <color rgb="FF0099FF"/>
      </top>
      <bottom/>
      <diagonal/>
    </border>
    <border>
      <left style="thin">
        <color rgb="FF0099FF"/>
      </left>
      <right style="thin">
        <color rgb="FF0099FF"/>
      </right>
      <top/>
      <bottom style="thin">
        <color rgb="FF0099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0099FF"/>
      </left>
      <right style="thin">
        <color rgb="FF0099FF"/>
      </right>
      <top style="thin">
        <color rgb="FF0099FF"/>
      </top>
      <bottom style="thin">
        <color rgb="FF0099FF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165" fontId="9" fillId="0" borderId="0" xfId="0" applyNumberFormat="1" applyFont="1" applyAlignment="1">
      <alignment horizontal="center" vertical="center"/>
    </xf>
    <xf numFmtId="165" fontId="0" fillId="0" borderId="0" xfId="0" applyNumberFormat="1"/>
    <xf numFmtId="166" fontId="6" fillId="0" borderId="0" xfId="1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textRotation="90" wrapText="1"/>
    </xf>
    <xf numFmtId="165" fontId="11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textRotation="90" wrapText="1"/>
    </xf>
    <xf numFmtId="0" fontId="14" fillId="0" borderId="0" xfId="0" applyFont="1" applyAlignment="1">
      <alignment vertical="center" textRotation="90"/>
    </xf>
    <xf numFmtId="0" fontId="16" fillId="0" borderId="0" xfId="0" applyFont="1"/>
    <xf numFmtId="0" fontId="11" fillId="0" borderId="0" xfId="0" applyFont="1"/>
    <xf numFmtId="0" fontId="17" fillId="0" borderId="0" xfId="0" applyFont="1"/>
    <xf numFmtId="49" fontId="1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0" fontId="18" fillId="0" borderId="0" xfId="0" applyFont="1"/>
    <xf numFmtId="0" fontId="0" fillId="0" borderId="4" xfId="0" applyBorder="1" applyAlignment="1">
      <alignment vertical="center"/>
    </xf>
    <xf numFmtId="9" fontId="0" fillId="0" borderId="4" xfId="1" applyFont="1" applyBorder="1"/>
    <xf numFmtId="9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165" fontId="0" fillId="0" borderId="4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21" fillId="0" borderId="0" xfId="0" applyNumberFormat="1" applyFont="1" applyAlignment="1">
      <alignment horizontal="left" vertical="center"/>
    </xf>
    <xf numFmtId="165" fontId="0" fillId="0" borderId="5" xfId="0" applyNumberFormat="1" applyBorder="1"/>
    <xf numFmtId="0" fontId="11" fillId="0" borderId="0" xfId="0" applyFont="1" applyProtection="1">
      <protection locked="0"/>
    </xf>
    <xf numFmtId="0" fontId="24" fillId="0" borderId="0" xfId="0" applyFont="1"/>
    <xf numFmtId="165" fontId="9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166" fontId="6" fillId="0" borderId="0" xfId="1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19" fillId="4" borderId="2" xfId="0" applyFont="1" applyFill="1" applyBorder="1" applyAlignment="1" applyProtection="1">
      <alignment horizontal="right" vertical="center" wrapText="1"/>
      <protection hidden="1"/>
    </xf>
    <xf numFmtId="165" fontId="20" fillId="4" borderId="3" xfId="0" applyNumberFormat="1" applyFont="1" applyFill="1" applyBorder="1" applyAlignment="1" applyProtection="1">
      <alignment horizontal="center"/>
      <protection hidden="1"/>
    </xf>
    <xf numFmtId="165" fontId="0" fillId="0" borderId="7" xfId="0" applyNumberFormat="1" applyBorder="1"/>
    <xf numFmtId="165" fontId="27" fillId="0" borderId="0" xfId="0" applyNumberFormat="1" applyFont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hidden="1"/>
    </xf>
    <xf numFmtId="3" fontId="28" fillId="0" borderId="0" xfId="0" applyNumberFormat="1" applyFont="1" applyAlignment="1" applyProtection="1">
      <alignment horizontal="center" vertical="center"/>
      <protection hidden="1"/>
    </xf>
    <xf numFmtId="165" fontId="29" fillId="0" borderId="0" xfId="0" applyNumberFormat="1" applyFont="1" applyAlignment="1" applyProtection="1">
      <alignment horizontal="center" vertical="center"/>
      <protection hidden="1"/>
    </xf>
    <xf numFmtId="165" fontId="25" fillId="0" borderId="12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10" fontId="23" fillId="4" borderId="3" xfId="1" applyNumberFormat="1" applyFont="1" applyFill="1" applyBorder="1" applyAlignment="1" applyProtection="1">
      <alignment horizontal="center"/>
      <protection hidden="1"/>
    </xf>
    <xf numFmtId="9" fontId="23" fillId="4" borderId="14" xfId="1" applyFont="1" applyFill="1" applyBorder="1" applyAlignment="1" applyProtection="1">
      <alignment horizontal="center"/>
      <protection hidden="1"/>
    </xf>
    <xf numFmtId="0" fontId="19" fillId="4" borderId="2" xfId="0" applyFont="1" applyFill="1" applyBorder="1" applyAlignment="1">
      <alignment horizontal="center" vertical="center" wrapText="1"/>
    </xf>
    <xf numFmtId="0" fontId="30" fillId="0" borderId="0" xfId="0" applyFont="1" applyProtection="1">
      <protection hidden="1"/>
    </xf>
    <xf numFmtId="165" fontId="33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10" fontId="33" fillId="0" borderId="0" xfId="1" applyNumberFormat="1" applyFont="1" applyFill="1" applyBorder="1" applyProtection="1">
      <protection hidden="1"/>
    </xf>
    <xf numFmtId="9" fontId="33" fillId="0" borderId="0" xfId="1" applyFont="1" applyFill="1" applyBorder="1" applyProtection="1">
      <protection hidden="1"/>
    </xf>
    <xf numFmtId="9" fontId="33" fillId="0" borderId="0" xfId="1" applyFont="1" applyFill="1" applyBorder="1" applyAlignment="1" applyProtection="1">
      <alignment horizontal="right"/>
      <protection hidden="1"/>
    </xf>
    <xf numFmtId="0" fontId="34" fillId="0" borderId="0" xfId="0" applyFont="1" applyProtection="1">
      <protection hidden="1"/>
    </xf>
    <xf numFmtId="10" fontId="35" fillId="2" borderId="0" xfId="1" applyNumberFormat="1" applyFont="1" applyFill="1" applyProtection="1">
      <protection hidden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  <protection hidden="1"/>
    </xf>
    <xf numFmtId="49" fontId="11" fillId="0" borderId="0" xfId="0" applyNumberFormat="1" applyFont="1" applyAlignment="1">
      <alignment horizontal="center" vertical="top"/>
    </xf>
    <xf numFmtId="0" fontId="33" fillId="0" borderId="0" xfId="0" applyFont="1" applyAlignment="1" applyProtection="1">
      <alignment horizontal="right"/>
      <protection hidden="1"/>
    </xf>
    <xf numFmtId="14" fontId="0" fillId="0" borderId="0" xfId="0" applyNumberFormat="1"/>
    <xf numFmtId="0" fontId="6" fillId="0" borderId="0" xfId="0" applyFont="1"/>
    <xf numFmtId="1" fontId="23" fillId="4" borderId="3" xfId="0" applyNumberFormat="1" applyFont="1" applyFill="1" applyBorder="1" applyAlignment="1" applyProtection="1">
      <alignment horizontal="center"/>
      <protection hidden="1"/>
    </xf>
    <xf numFmtId="14" fontId="33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165" fontId="36" fillId="4" borderId="3" xfId="0" applyNumberFormat="1" applyFont="1" applyFill="1" applyBorder="1" applyAlignment="1" applyProtection="1">
      <alignment horizontal="center"/>
      <protection hidden="1"/>
    </xf>
    <xf numFmtId="0" fontId="37" fillId="0" borderId="0" xfId="0" applyFont="1"/>
    <xf numFmtId="0" fontId="39" fillId="0" borderId="0" xfId="0" applyFont="1"/>
    <xf numFmtId="10" fontId="38" fillId="6" borderId="0" xfId="1" applyNumberFormat="1" applyFont="1" applyFill="1" applyProtection="1">
      <protection locked="0"/>
    </xf>
    <xf numFmtId="0" fontId="38" fillId="6" borderId="0" xfId="0" applyFont="1" applyFill="1" applyProtection="1">
      <protection locked="0"/>
    </xf>
    <xf numFmtId="167" fontId="38" fillId="6" borderId="0" xfId="0" applyNumberFormat="1" applyFont="1" applyFill="1" applyProtection="1">
      <protection locked="0"/>
    </xf>
    <xf numFmtId="14" fontId="38" fillId="6" borderId="0" xfId="0" applyNumberFormat="1" applyFont="1" applyFill="1" applyProtection="1">
      <protection locked="0"/>
    </xf>
    <xf numFmtId="165" fontId="38" fillId="6" borderId="0" xfId="0" applyNumberFormat="1" applyFont="1" applyFill="1" applyProtection="1">
      <protection locked="0"/>
    </xf>
    <xf numFmtId="9" fontId="38" fillId="6" borderId="0" xfId="1" applyFont="1" applyFill="1" applyProtection="1">
      <protection locked="0"/>
    </xf>
    <xf numFmtId="9" fontId="38" fillId="6" borderId="0" xfId="1" applyFont="1" applyFill="1" applyAlignment="1" applyProtection="1">
      <alignment horizontal="right"/>
      <protection locked="0"/>
    </xf>
    <xf numFmtId="165" fontId="38" fillId="6" borderId="0" xfId="0" applyNumberFormat="1" applyFont="1" applyFill="1" applyAlignment="1" applyProtection="1">
      <alignment horizontal="right"/>
      <protection locked="0"/>
    </xf>
    <xf numFmtId="0" fontId="7" fillId="3" borderId="0" xfId="0" applyFont="1" applyFill="1" applyAlignment="1" applyProtection="1">
      <alignment horizontal="center" vertical="center"/>
      <protection hidden="1"/>
    </xf>
    <xf numFmtId="0" fontId="38" fillId="6" borderId="0" xfId="0" applyFont="1" applyFill="1" applyAlignment="1" applyProtection="1">
      <alignment horizontal="right"/>
      <protection locked="0"/>
    </xf>
    <xf numFmtId="0" fontId="12" fillId="0" borderId="0" xfId="0" applyFont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26" fillId="3" borderId="0" xfId="0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/>
      <protection hidden="1"/>
    </xf>
    <xf numFmtId="165" fontId="9" fillId="0" borderId="16" xfId="0" applyNumberFormat="1" applyFont="1" applyBorder="1" applyAlignment="1" applyProtection="1">
      <alignment horizontal="center" vertical="center"/>
      <protection hidden="1"/>
    </xf>
    <xf numFmtId="165" fontId="9" fillId="0" borderId="17" xfId="0" applyNumberFormat="1" applyFont="1" applyBorder="1" applyAlignment="1" applyProtection="1">
      <alignment horizontal="center" vertical="center"/>
      <protection hidden="1"/>
    </xf>
    <xf numFmtId="165" fontId="9" fillId="0" borderId="18" xfId="0" applyNumberFormat="1" applyFont="1" applyBorder="1" applyAlignment="1" applyProtection="1">
      <alignment horizontal="center" vertical="center"/>
      <protection hidden="1"/>
    </xf>
    <xf numFmtId="0" fontId="31" fillId="5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69696"/>
      <color rgb="FFFFE79B"/>
      <color rgb="FFD4E8C6"/>
      <color rgb="FFC1E6FF"/>
      <color rgb="FFB7E2FF"/>
      <color rgb="FF89CFFF"/>
      <color rgb="FFD9F0FF"/>
      <color rgb="FFD6A300"/>
      <color rgb="FFFFF7E1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17146</xdr:colOff>
      <xdr:row>3</xdr:row>
      <xdr:rowOff>7620</xdr:rowOff>
    </xdr:from>
    <xdr:to>
      <xdr:col>6</xdr:col>
      <xdr:colOff>581025</xdr:colOff>
      <xdr:row>21</xdr:row>
      <xdr:rowOff>57150</xdr:rowOff>
    </xdr:to>
    <xdr:sp macro="" textlink="">
      <xdr:nvSpPr>
        <xdr:cNvPr id="3" name="Retângulo: Cantos Arredondados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98271" y="636270"/>
          <a:ext cx="6240779" cy="3478530"/>
        </a:xfrm>
        <a:prstGeom prst="roundRect">
          <a:avLst>
            <a:gd name="adj" fmla="val 9668"/>
          </a:avLst>
        </a:prstGeom>
        <a:solidFill>
          <a:schemeClr val="bg1"/>
        </a:solidFill>
        <a:ln w="19050">
          <a:solidFill>
            <a:schemeClr val="accent5">
              <a:lumMod val="5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97694</xdr:colOff>
      <xdr:row>15</xdr:row>
      <xdr:rowOff>152239</xdr:rowOff>
    </xdr:from>
    <xdr:to>
      <xdr:col>0</xdr:col>
      <xdr:colOff>119044</xdr:colOff>
      <xdr:row>17</xdr:row>
      <xdr:rowOff>55253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7694" y="3381214"/>
          <a:ext cx="21350" cy="2840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1" u="sng">
              <a:solidFill>
                <a:schemeClr val="bg1"/>
              </a:solidFill>
              <a:latin typeface="Montserrat" panose="00000500000000000000" pitchFamily="2" charset="0"/>
            </a:rPr>
            <a:t>Planilha Produtos</a:t>
          </a:r>
        </a:p>
      </xdr:txBody>
    </xdr:sp>
    <xdr:clientData/>
  </xdr:twoCellAnchor>
  <xdr:twoCellAnchor>
    <xdr:from>
      <xdr:col>1</xdr:col>
      <xdr:colOff>19050</xdr:colOff>
      <xdr:row>3</xdr:row>
      <xdr:rowOff>133350</xdr:rowOff>
    </xdr:from>
    <xdr:to>
      <xdr:col>6</xdr:col>
      <xdr:colOff>552450</xdr:colOff>
      <xdr:row>20</xdr:row>
      <xdr:rowOff>114300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00175" y="762000"/>
          <a:ext cx="6210300" cy="3219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>
              <a:latin typeface="Montserrat" panose="00000500000000000000" pitchFamily="2" charset="0"/>
            </a:rPr>
            <a:t>Para</a:t>
          </a:r>
          <a:r>
            <a:rPr lang="pt-BR" sz="1200" baseline="0">
              <a:latin typeface="Montserrat" panose="00000500000000000000" pitchFamily="2" charset="0"/>
            </a:rPr>
            <a:t> fazer sua simulação siga esta passo a passo:</a:t>
          </a: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1. Clique na aba "Simplificado".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2. Preencha todas as informações nas células coloridas em </a:t>
          </a:r>
          <a:r>
            <a:rPr lang="pt-BR" sz="1200" b="1" u="sng" baseline="0">
              <a:latin typeface="Montserrat" panose="00000500000000000000" pitchFamily="2" charset="0"/>
            </a:rPr>
            <a:t>CINZA</a:t>
          </a:r>
          <a:r>
            <a:rPr lang="pt-BR" sz="1200" b="0" u="none" baseline="0">
              <a:latin typeface="Montserrat" panose="00000500000000000000" pitchFamily="2" charset="0"/>
            </a:rPr>
            <a:t>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3. Caso queira consultar mais detalhes sobre os cálculos do seu cashback, você poderá acessar a aba "Detalhado".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Observação: A aba "Detalhado" não está habilitada para edição, somente para consulta. Quaisquer alterações na simulação deverão ser realizadas na aba "Simplificado".</a:t>
          </a:r>
          <a:endParaRPr lang="pt-BR" sz="12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0</xdr:col>
      <xdr:colOff>542926</xdr:colOff>
      <xdr:row>0</xdr:row>
      <xdr:rowOff>47625</xdr:rowOff>
    </xdr:from>
    <xdr:to>
      <xdr:col>1</xdr:col>
      <xdr:colOff>0</xdr:colOff>
      <xdr:row>2</xdr:row>
      <xdr:rowOff>103412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5"/>
        <a:stretch/>
      </xdr:blipFill>
      <xdr:spPr>
        <a:xfrm>
          <a:off x="542926" y="47625"/>
          <a:ext cx="838199" cy="493937"/>
        </a:xfrm>
        <a:prstGeom prst="rect">
          <a:avLst/>
        </a:prstGeom>
      </xdr:spPr>
    </xdr:pic>
    <xdr:clientData/>
  </xdr:twoCellAnchor>
  <xdr:twoCellAnchor>
    <xdr:from>
      <xdr:col>1</xdr:col>
      <xdr:colOff>29136</xdr:colOff>
      <xdr:row>23</xdr:row>
      <xdr:rowOff>5602</xdr:rowOff>
    </xdr:from>
    <xdr:to>
      <xdr:col>6</xdr:col>
      <xdr:colOff>593015</xdr:colOff>
      <xdr:row>44</xdr:row>
      <xdr:rowOff>38099</xdr:rowOff>
    </xdr:to>
    <xdr:sp macro="" textlink="">
      <xdr:nvSpPr>
        <xdr:cNvPr id="2" name="Retângulo: Cantos Arredondados 5">
          <a:extLst>
            <a:ext uri="{FF2B5EF4-FFF2-40B4-BE49-F238E27FC236}">
              <a16:creationId xmlns:a16="http://schemas.microsoft.com/office/drawing/2014/main" id="{4C2831B6-03AC-4A43-A860-FA398D45721D}"/>
            </a:ext>
          </a:extLst>
        </xdr:cNvPr>
        <xdr:cNvSpPr/>
      </xdr:nvSpPr>
      <xdr:spPr>
        <a:xfrm>
          <a:off x="1410261" y="4444252"/>
          <a:ext cx="6240779" cy="4032997"/>
        </a:xfrm>
        <a:prstGeom prst="roundRect">
          <a:avLst>
            <a:gd name="adj" fmla="val 9668"/>
          </a:avLst>
        </a:prstGeom>
        <a:solidFill>
          <a:schemeClr val="bg1"/>
        </a:solidFill>
        <a:ln w="19050">
          <a:solidFill>
            <a:schemeClr val="accent5">
              <a:lumMod val="5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29136</xdr:colOff>
      <xdr:row>23</xdr:row>
      <xdr:rowOff>167527</xdr:rowOff>
    </xdr:from>
    <xdr:to>
      <xdr:col>6</xdr:col>
      <xdr:colOff>562536</xdr:colOff>
      <xdr:row>43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D7C41EE-A7D4-4E9F-91C4-F4C6A54319A4}"/>
            </a:ext>
          </a:extLst>
        </xdr:cNvPr>
        <xdr:cNvSpPr txBox="1"/>
      </xdr:nvSpPr>
      <xdr:spPr>
        <a:xfrm>
          <a:off x="1410261" y="4606177"/>
          <a:ext cx="6210300" cy="3775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Instruções específicas para simulação com </a:t>
          </a:r>
        </a:p>
        <a:p>
          <a:pPr algn="ctr"/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Cartões de Crédito que oferecem</a:t>
          </a:r>
          <a:r>
            <a:rPr lang="pt-BR" sz="1200" baseline="0">
              <a:latin typeface="Montserrat" panose="00000500000000000000" pitchFamily="2" charset="0"/>
            </a:rPr>
            <a:t> </a:t>
          </a:r>
          <a:r>
            <a:rPr lang="pt-BR" sz="1200" b="1" baseline="0">
              <a:latin typeface="Montserrat" panose="00000500000000000000" pitchFamily="2" charset="0"/>
            </a:rPr>
            <a:t>Cashback em Dinheiro</a:t>
          </a:r>
          <a:r>
            <a:rPr lang="pt-BR" sz="1200" baseline="0">
              <a:latin typeface="Montserrat" panose="00000500000000000000" pitchFamily="2" charset="0"/>
            </a:rPr>
            <a:t>:</a:t>
          </a: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1. Selecione a opção "Cartão com Cashback em dinheiro".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2. No campo "percentual de taxas cobradas pelo app", informe a </a:t>
          </a:r>
          <a:r>
            <a:rPr lang="pt-BR" sz="1200" b="1" baseline="0">
              <a:latin typeface="Montserrat" panose="00000500000000000000" pitchFamily="2" charset="0"/>
            </a:rPr>
            <a:t>subtração</a:t>
          </a:r>
          <a:r>
            <a:rPr lang="pt-BR" sz="1200" baseline="0">
              <a:latin typeface="Montserrat" panose="00000500000000000000" pitchFamily="2" charset="0"/>
            </a:rPr>
            <a:t> entre as 2 taxas:</a:t>
          </a:r>
        </a:p>
        <a:p>
          <a:pPr algn="l"/>
          <a:r>
            <a:rPr lang="pt-BR" sz="1200" baseline="0">
              <a:latin typeface="Montserrat" panose="00000500000000000000" pitchFamily="2" charset="0"/>
            </a:rPr>
            <a:t>    Taxa cobrada pelo app - Cashback oferecido pelo cartão</a:t>
          </a:r>
          <a:r>
            <a:rPr lang="pt-BR" sz="1200" b="0" u="none" baseline="0">
              <a:latin typeface="Montserrat" panose="00000500000000000000" pitchFamily="2" charset="0"/>
            </a:rPr>
            <a:t>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solidFill>
                <a:srgbClr val="0070C0"/>
              </a:solidFill>
              <a:latin typeface="Montserrat" panose="00000500000000000000" pitchFamily="2" charset="0"/>
            </a:rPr>
            <a:t>Exemplo 1:</a:t>
          </a:r>
          <a:r>
            <a:rPr lang="pt-BR" sz="1200" baseline="0">
              <a:latin typeface="Montserrat" panose="00000500000000000000" pitchFamily="2" charset="0"/>
            </a:rPr>
            <a:t> App cobra taxa de 2,99% e o cartão oferece cashback de 1%.</a:t>
          </a:r>
        </a:p>
        <a:p>
          <a:pPr algn="l"/>
          <a:r>
            <a:rPr lang="pt-BR" sz="1200" baseline="0">
              <a:latin typeface="Montserrat" panose="00000500000000000000" pitchFamily="2" charset="0"/>
            </a:rPr>
            <a:t>No campo 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"percentual de taxas cobradas pelo app" informe </a:t>
          </a:r>
          <a:r>
            <a:rPr lang="pt-BR" sz="1200" b="1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1,99%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. </a:t>
          </a:r>
        </a:p>
        <a:p>
          <a:pPr algn="l"/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Ou seja: 2,99% (taxa do app) - 1% (cashback do cartão)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r>
            <a:rPr lang="pt-BR" sz="1200" baseline="0">
              <a:solidFill>
                <a:srgbClr val="0070C0"/>
              </a:solidFill>
              <a:latin typeface="Montserrat" panose="00000500000000000000" pitchFamily="2" charset="0"/>
            </a:rPr>
            <a:t>Exemplo 2:</a:t>
          </a:r>
          <a:r>
            <a:rPr lang="pt-BR" sz="1200" baseline="0">
              <a:latin typeface="Montserrat" panose="00000500000000000000" pitchFamily="2" charset="0"/>
            </a:rPr>
            <a:t> App não cobra taxas (0 de taxas) 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e o cartão oferece cashback de 1%.</a:t>
          </a:r>
        </a:p>
        <a:p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No campo "percentual de taxas cobradas pelo app", informe  </a:t>
          </a:r>
          <a:r>
            <a:rPr lang="pt-BR" sz="1200" b="1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-1%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 (menos um porcento). </a:t>
          </a:r>
        </a:p>
        <a:p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Ou seja: 0% (taxa do app) - 1% (cashback do cartão)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1952625</xdr:colOff>
      <xdr:row>4</xdr:row>
      <xdr:rowOff>104775</xdr:rowOff>
    </xdr:from>
    <xdr:to>
      <xdr:col>5</xdr:col>
      <xdr:colOff>0</xdr:colOff>
      <xdr:row>4</xdr:row>
      <xdr:rowOff>114301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00300" y="1333500"/>
          <a:ext cx="1571625" cy="95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1819275</xdr:colOff>
      <xdr:row>8</xdr:row>
      <xdr:rowOff>95250</xdr:rowOff>
    </xdr:from>
    <xdr:to>
      <xdr:col>5</xdr:col>
      <xdr:colOff>0</xdr:colOff>
      <xdr:row>8</xdr:row>
      <xdr:rowOff>95250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266950" y="2124075"/>
          <a:ext cx="17049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1181100</xdr:colOff>
      <xdr:row>6</xdr:row>
      <xdr:rowOff>114300</xdr:rowOff>
    </xdr:from>
    <xdr:to>
      <xdr:col>4</xdr:col>
      <xdr:colOff>152400</xdr:colOff>
      <xdr:row>6</xdr:row>
      <xdr:rowOff>114300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85925" y="1847850"/>
          <a:ext cx="2400300" cy="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1242947</xdr:colOff>
      <xdr:row>0</xdr:row>
      <xdr:rowOff>0</xdr:rowOff>
    </xdr:from>
    <xdr:to>
      <xdr:col>13</xdr:col>
      <xdr:colOff>57149</xdr:colOff>
      <xdr:row>1</xdr:row>
      <xdr:rowOff>323901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423922" y="0"/>
          <a:ext cx="9396477" cy="5906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CALCULADORA</a:t>
          </a:r>
          <a:r>
            <a:rPr lang="pt-BR" sz="3200" b="1" baseline="0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 DE PONTOS DOS CARTÕES DE CRÉDITO</a:t>
          </a:r>
          <a:endParaRPr lang="pt-BR" sz="3200" b="1">
            <a:ln>
              <a:solidFill>
                <a:schemeClr val="bg2">
                  <a:lumMod val="90000"/>
                </a:schemeClr>
              </a:solidFill>
            </a:ln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1</xdr:col>
      <xdr:colOff>85723</xdr:colOff>
      <xdr:row>0</xdr:row>
      <xdr:rowOff>85723</xdr:rowOff>
    </xdr:from>
    <xdr:to>
      <xdr:col>2</xdr:col>
      <xdr:colOff>1295400</xdr:colOff>
      <xdr:row>2</xdr:row>
      <xdr:rowOff>57150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5"/>
        <a:stretch/>
      </xdr:blipFill>
      <xdr:spPr>
        <a:xfrm>
          <a:off x="152398" y="85723"/>
          <a:ext cx="1323977" cy="904877"/>
        </a:xfrm>
        <a:prstGeom prst="rect">
          <a:avLst/>
        </a:prstGeom>
      </xdr:spPr>
    </xdr:pic>
    <xdr:clientData/>
  </xdr:twoCellAnchor>
  <xdr:twoCellAnchor>
    <xdr:from>
      <xdr:col>2</xdr:col>
      <xdr:colOff>1287845</xdr:colOff>
      <xdr:row>1</xdr:row>
      <xdr:rowOff>382723</xdr:rowOff>
    </xdr:from>
    <xdr:to>
      <xdr:col>2</xdr:col>
      <xdr:colOff>1558431</xdr:colOff>
      <xdr:row>1</xdr:row>
      <xdr:rowOff>564961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735520" y="649423"/>
          <a:ext cx="270586" cy="1822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50800</xdr:colOff>
      <xdr:row>1</xdr:row>
      <xdr:rowOff>371476</xdr:rowOff>
    </xdr:from>
    <xdr:to>
      <xdr:col>12</xdr:col>
      <xdr:colOff>12700</xdr:colOff>
      <xdr:row>2</xdr:row>
      <xdr:rowOff>47625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086600" y="638176"/>
          <a:ext cx="5156200" cy="336549"/>
        </a:xfrm>
        <a:prstGeom prst="rect">
          <a:avLst/>
        </a:prstGeom>
        <a:solidFill>
          <a:srgbClr val="FFC000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003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ln>
                <a:noFill/>
              </a:ln>
              <a:solidFill>
                <a:schemeClr val="bg1"/>
              </a:solidFill>
            </a:rPr>
            <a:t>ATENÇÃO</a:t>
          </a:r>
          <a:r>
            <a:rPr lang="pt-BR" sz="1400">
              <a:ln>
                <a:noFill/>
              </a:ln>
              <a:solidFill>
                <a:schemeClr val="bg1"/>
              </a:solidFill>
            </a:rPr>
            <a:t>:</a:t>
          </a:r>
          <a:r>
            <a:rPr lang="pt-BR" sz="1400" baseline="0">
              <a:ln>
                <a:noFill/>
              </a:ln>
              <a:solidFill>
                <a:schemeClr val="bg1"/>
              </a:solidFill>
            </a:rPr>
            <a:t> </a:t>
          </a:r>
          <a:r>
            <a:rPr lang="pt-BR" sz="1500">
              <a:ln>
                <a:noFill/>
              </a:ln>
              <a:solidFill>
                <a:schemeClr val="bg1"/>
              </a:solidFill>
            </a:rPr>
            <a:t>Preencher</a:t>
          </a:r>
          <a:r>
            <a:rPr lang="pt-BR" sz="1500" baseline="0">
              <a:ln>
                <a:noFill/>
              </a:ln>
              <a:solidFill>
                <a:schemeClr val="bg1"/>
              </a:solidFill>
            </a:rPr>
            <a:t> SOMENTE as células coloridas em </a:t>
          </a:r>
          <a:r>
            <a:rPr lang="pt-BR" sz="1500" b="1" u="sng" baseline="0">
              <a:ln>
                <a:noFill/>
              </a:ln>
              <a:solidFill>
                <a:schemeClr val="bg1">
                  <a:lumMod val="95000"/>
                </a:schemeClr>
              </a:solidFill>
            </a:rPr>
            <a:t>CINZA</a:t>
          </a:r>
          <a:r>
            <a:rPr lang="pt-BR" sz="1500" b="1" baseline="0">
              <a:ln>
                <a:noFill/>
              </a:ln>
              <a:solidFill>
                <a:schemeClr val="bg1"/>
              </a:solidFill>
            </a:rPr>
            <a:t>.</a:t>
          </a:r>
          <a:endParaRPr lang="pt-BR" sz="1500" b="1">
            <a:ln>
              <a:noFill/>
            </a:ln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2343150</xdr:colOff>
      <xdr:row>3</xdr:row>
      <xdr:rowOff>104775</xdr:rowOff>
    </xdr:from>
    <xdr:to>
      <xdr:col>4</xdr:col>
      <xdr:colOff>695325</xdr:colOff>
      <xdr:row>3</xdr:row>
      <xdr:rowOff>114300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847975" y="1047750"/>
          <a:ext cx="24384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5</xdr:row>
      <xdr:rowOff>0</xdr:rowOff>
    </xdr:from>
    <xdr:to>
      <xdr:col>7</xdr:col>
      <xdr:colOff>571500</xdr:colOff>
      <xdr:row>5</xdr:row>
      <xdr:rowOff>190501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7134225" y="1428750"/>
          <a:ext cx="0" cy="190501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8</xdr:row>
      <xdr:rowOff>19050</xdr:rowOff>
    </xdr:from>
    <xdr:to>
      <xdr:col>5</xdr:col>
      <xdr:colOff>428625</xdr:colOff>
      <xdr:row>9</xdr:row>
      <xdr:rowOff>66676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4933950" y="2057400"/>
          <a:ext cx="0" cy="247651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1462025</xdr:colOff>
      <xdr:row>0</xdr:row>
      <xdr:rowOff>38100</xdr:rowOff>
    </xdr:from>
    <xdr:to>
      <xdr:col>13</xdr:col>
      <xdr:colOff>104774</xdr:colOff>
      <xdr:row>1</xdr:row>
      <xdr:rowOff>362001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909700" y="38100"/>
          <a:ext cx="9663174" cy="5906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CALCULADORA</a:t>
          </a:r>
          <a:r>
            <a:rPr lang="pt-BR" sz="3200" b="1" baseline="0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 DE PONTOS DOS CARTÕES DE CRÉDITO</a:t>
          </a:r>
          <a:endParaRPr lang="pt-BR" sz="3200" b="1">
            <a:ln>
              <a:solidFill>
                <a:schemeClr val="bg2">
                  <a:lumMod val="90000"/>
                </a:schemeClr>
              </a:solidFill>
            </a:ln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2</xdr:col>
      <xdr:colOff>180975</xdr:colOff>
      <xdr:row>0</xdr:row>
      <xdr:rowOff>85775</xdr:rowOff>
    </xdr:from>
    <xdr:to>
      <xdr:col>2</xdr:col>
      <xdr:colOff>1504952</xdr:colOff>
      <xdr:row>2</xdr:row>
      <xdr:rowOff>57202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5"/>
        <a:stretch/>
      </xdr:blipFill>
      <xdr:spPr>
        <a:xfrm>
          <a:off x="628650" y="85775"/>
          <a:ext cx="1323977" cy="904877"/>
        </a:xfrm>
        <a:prstGeom prst="rect">
          <a:avLst/>
        </a:prstGeom>
      </xdr:spPr>
    </xdr:pic>
    <xdr:clientData/>
  </xdr:twoCellAnchor>
  <xdr:twoCellAnchor>
    <xdr:from>
      <xdr:col>2</xdr:col>
      <xdr:colOff>1297372</xdr:colOff>
      <xdr:row>1</xdr:row>
      <xdr:rowOff>363725</xdr:rowOff>
    </xdr:from>
    <xdr:to>
      <xdr:col>2</xdr:col>
      <xdr:colOff>1567958</xdr:colOff>
      <xdr:row>1</xdr:row>
      <xdr:rowOff>545963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745047" y="630425"/>
          <a:ext cx="270586" cy="1822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rcadoaaa@hotmail.com" TargetMode="External"/><Relationship Id="rId2" Type="http://schemas.openxmlformats.org/officeDocument/2006/relationships/hyperlink" Target="mailto:mercadoxyz@yahoo.com" TargetMode="External"/><Relationship Id="rId1" Type="http://schemas.openxmlformats.org/officeDocument/2006/relationships/hyperlink" Target="mailto:emailarc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ornecedoralf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"/>
  <sheetViews>
    <sheetView showGridLines="0" tabSelected="1" zoomScaleNormal="100" workbookViewId="0">
      <selection activeCell="B2" sqref="B2:G2"/>
    </sheetView>
  </sheetViews>
  <sheetFormatPr baseColWidth="10" defaultColWidth="8.83203125" defaultRowHeight="15" x14ac:dyDescent="0.2"/>
  <cols>
    <col min="1" max="1" width="20.6640625" customWidth="1"/>
    <col min="2" max="2" width="34.6640625" customWidth="1"/>
    <col min="3" max="3" width="18" customWidth="1"/>
    <col min="4" max="4" width="18.33203125" customWidth="1"/>
    <col min="5" max="5" width="8.83203125" customWidth="1"/>
    <col min="6" max="6" width="5.33203125" customWidth="1"/>
  </cols>
  <sheetData>
    <row r="1" spans="2:7" ht="8.25" customHeight="1" x14ac:dyDescent="0.2"/>
    <row r="2" spans="2:7" ht="26" x14ac:dyDescent="0.3">
      <c r="B2" s="97" t="s">
        <v>45</v>
      </c>
      <c r="C2" s="97"/>
      <c r="D2" s="97"/>
      <c r="E2" s="97"/>
      <c r="F2" s="97"/>
      <c r="G2" s="97"/>
    </row>
  </sheetData>
  <sheetProtection algorithmName="SHA-512" hashValue="nobM26+QGU04G/uEIHWLtOoGQBubB3b+XGOsNj4lfeSwG4b1YsmA1OXTyqwUD4d7SyHf4gZCeRFlvKC33T1oYQ==" saltValue="OsB6WQbj8CXZNSw36ZIthw==" spinCount="100000" sheet="1" objects="1" scenarios="1" selectLockedCells="1" selectUnlockedCells="1"/>
  <mergeCells count="1">
    <mergeCell ref="B2:G2"/>
  </mergeCells>
  <hyperlinks>
    <hyperlink ref="B5" r:id="rId1" display="emailarc@gmail.com" xr:uid="{00000000-0004-0000-0000-000000000000}"/>
    <hyperlink ref="B6" r:id="rId2" display="mercadoxyz@yahoo.com" xr:uid="{00000000-0004-0000-0000-000001000000}"/>
    <hyperlink ref="B7" r:id="rId3" display="mercadoaaa@hotmail.com" xr:uid="{00000000-0004-0000-0000-000002000000}"/>
    <hyperlink ref="B8" r:id="rId4" display="fornecedoralf@gmail.com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1:Y34"/>
  <sheetViews>
    <sheetView showGridLines="0" zoomScaleNormal="100" workbookViewId="0">
      <selection activeCell="K4" sqref="K4:L4"/>
    </sheetView>
  </sheetViews>
  <sheetFormatPr baseColWidth="10" defaultColWidth="8.83203125" defaultRowHeight="26" x14ac:dyDescent="0.3"/>
  <cols>
    <col min="1" max="1" width="1" customWidth="1"/>
    <col min="2" max="2" width="1.6640625" customWidth="1"/>
    <col min="3" max="3" width="48.5" customWidth="1"/>
    <col min="4" max="5" width="2.1640625" customWidth="1"/>
    <col min="6" max="6" width="19.83203125" bestFit="1" customWidth="1"/>
    <col min="7" max="7" width="5.83203125" customWidth="1"/>
    <col min="8" max="8" width="8.5" customWidth="1"/>
    <col min="9" max="9" width="2.6640625" customWidth="1"/>
    <col min="10" max="10" width="32.83203125" customWidth="1"/>
    <col min="11" max="11" width="13.6640625" customWidth="1"/>
    <col min="12" max="12" width="21.6640625" customWidth="1"/>
    <col min="13" max="13" width="0.6640625" style="9" customWidth="1"/>
    <col min="14" max="14" width="12.5" bestFit="1" customWidth="1"/>
    <col min="15" max="15" width="0.5" customWidth="1"/>
    <col min="17" max="17" width="9.1640625" hidden="1" customWidth="1"/>
    <col min="18" max="18" width="46.33203125" hidden="1" customWidth="1"/>
    <col min="19" max="19" width="9.1640625" hidden="1" customWidth="1"/>
    <col min="20" max="20" width="9.1640625" style="11" hidden="1" customWidth="1"/>
    <col min="21" max="22" width="9.1640625" hidden="1" customWidth="1"/>
    <col min="23" max="23" width="11.5" hidden="1" customWidth="1"/>
    <col min="24" max="24" width="11.33203125" hidden="1" customWidth="1"/>
    <col min="25" max="25" width="9.1640625" hidden="1" customWidth="1"/>
    <col min="26" max="26" width="9.1640625" customWidth="1"/>
  </cols>
  <sheetData>
    <row r="1" spans="2:24" ht="21" customHeight="1" x14ac:dyDescent="0.3"/>
    <row r="2" spans="2:24" ht="52.5" customHeight="1" x14ac:dyDescent="0.3">
      <c r="C2" s="10"/>
      <c r="D2" s="88"/>
      <c r="E2" s="88"/>
      <c r="F2" s="88"/>
      <c r="G2" s="88"/>
      <c r="H2" s="88"/>
      <c r="I2" s="88"/>
      <c r="J2" s="9"/>
      <c r="K2" s="9"/>
      <c r="L2" s="9"/>
      <c r="R2" s="35" t="s">
        <v>0</v>
      </c>
      <c r="T2" s="89" t="s">
        <v>18</v>
      </c>
      <c r="U2" s="90"/>
      <c r="W2" s="33" t="s">
        <v>22</v>
      </c>
      <c r="X2" s="34" t="s">
        <v>29</v>
      </c>
    </row>
    <row r="3" spans="2:24" ht="7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R3" s="27"/>
      <c r="T3" s="65"/>
      <c r="U3" s="66"/>
      <c r="W3" s="27"/>
      <c r="X3" s="29"/>
    </row>
    <row r="4" spans="2:24" ht="16" customHeight="1" x14ac:dyDescent="0.3">
      <c r="J4" s="17" t="s">
        <v>35</v>
      </c>
      <c r="K4" s="87"/>
      <c r="L4" s="87"/>
      <c r="R4" s="27" t="s">
        <v>36</v>
      </c>
      <c r="T4" s="31" t="s">
        <v>20</v>
      </c>
      <c r="U4" s="24" t="s">
        <v>19</v>
      </c>
      <c r="W4" s="27" t="s">
        <v>23</v>
      </c>
      <c r="X4" s="30">
        <v>24</v>
      </c>
    </row>
    <row r="5" spans="2:24" ht="15.75" customHeight="1" x14ac:dyDescent="0.3">
      <c r="C5" s="1" t="s">
        <v>3</v>
      </c>
      <c r="F5" s="67">
        <f>-L9*L10</f>
        <v>0</v>
      </c>
      <c r="J5" s="17" t="s">
        <v>33</v>
      </c>
      <c r="L5" s="80"/>
      <c r="R5" s="27" t="s">
        <v>1</v>
      </c>
      <c r="T5" s="31">
        <v>1</v>
      </c>
      <c r="U5" s="25">
        <v>0.96</v>
      </c>
      <c r="W5" s="27" t="s">
        <v>24</v>
      </c>
      <c r="X5" s="30">
        <v>16</v>
      </c>
    </row>
    <row r="6" spans="2:24" ht="15.75" customHeight="1" x14ac:dyDescent="0.3">
      <c r="D6" s="2"/>
      <c r="E6" s="2"/>
      <c r="H6" s="5"/>
      <c r="J6" s="17" t="s">
        <v>34</v>
      </c>
      <c r="K6" s="18"/>
      <c r="L6" s="79"/>
      <c r="N6" s="71" t="s">
        <v>2</v>
      </c>
      <c r="O6" s="17"/>
      <c r="R6" s="27" t="s">
        <v>9</v>
      </c>
      <c r="T6" s="31">
        <v>2</v>
      </c>
      <c r="U6" s="25">
        <v>0.93</v>
      </c>
      <c r="W6" s="27" t="s">
        <v>27</v>
      </c>
      <c r="X6" s="30">
        <v>17</v>
      </c>
    </row>
    <row r="7" spans="2:24" ht="15.75" customHeight="1" x14ac:dyDescent="0.3">
      <c r="C7" s="14" t="s">
        <v>11</v>
      </c>
      <c r="D7" s="4"/>
      <c r="E7" s="4"/>
      <c r="F7" s="40">
        <f>IFERROR(IF(K4=R7,0,IF(L15=W8,IF(K4=R4,(L9-F5)/L5*L6*L16/1000,IF(K4=R6,(L9-F5)*0.25*(1+L14)*L16/1000,(L9-F5)/L5*L6*(1+L14)*L16/1000))/2,IF(K4=R4,(L9-F5)/L5*L6*L16/1000,IF(K4=R6,(L9-F5)*0.25*(1+L14)*L16/1000,(L9-F5)/L5*L6*(1+L14)*L16/1000)))),0)+((L9-F5)*(L19-0.1%)*L18/12/30*P19*(1-N20)*(1-N21))+L11</f>
        <v>0</v>
      </c>
      <c r="G7" s="5"/>
      <c r="H7" s="5"/>
      <c r="J7" s="17" t="s">
        <v>53</v>
      </c>
      <c r="K7" s="18"/>
      <c r="L7" s="81"/>
      <c r="N7" s="17"/>
      <c r="O7" s="17"/>
      <c r="R7" s="27" t="s">
        <v>44</v>
      </c>
      <c r="T7" s="31">
        <v>3</v>
      </c>
      <c r="U7" s="25">
        <v>0.9</v>
      </c>
      <c r="W7" s="27" t="s">
        <v>25</v>
      </c>
      <c r="X7" s="30">
        <v>42</v>
      </c>
    </row>
    <row r="8" spans="2:24" ht="15.75" customHeight="1" x14ac:dyDescent="0.3">
      <c r="D8" s="4"/>
      <c r="E8" s="4"/>
      <c r="F8" s="22"/>
      <c r="J8" s="17"/>
      <c r="K8" s="18"/>
      <c r="N8" s="17"/>
      <c r="O8" s="17"/>
      <c r="R8" s="28"/>
      <c r="T8" s="31">
        <v>4</v>
      </c>
      <c r="U8" s="25">
        <v>0.86</v>
      </c>
      <c r="W8" s="27" t="s">
        <v>26</v>
      </c>
      <c r="X8" s="30">
        <v>52</v>
      </c>
    </row>
    <row r="9" spans="2:24" ht="15.75" customHeight="1" x14ac:dyDescent="0.3">
      <c r="C9" s="36" t="s">
        <v>42</v>
      </c>
      <c r="D9" s="4"/>
      <c r="E9" s="4"/>
      <c r="F9" s="41">
        <f>F7+F5</f>
        <v>0</v>
      </c>
      <c r="H9" s="20"/>
      <c r="I9" s="5"/>
      <c r="J9" s="17" t="s">
        <v>4</v>
      </c>
      <c r="K9" s="18"/>
      <c r="L9" s="82"/>
      <c r="N9" s="17"/>
      <c r="O9" s="17"/>
      <c r="T9" s="31">
        <v>5</v>
      </c>
      <c r="U9" s="25">
        <v>0.83</v>
      </c>
      <c r="W9" s="27" t="s">
        <v>43</v>
      </c>
      <c r="X9" s="30">
        <v>70</v>
      </c>
    </row>
    <row r="10" spans="2:24" ht="15.75" customHeight="1" x14ac:dyDescent="0.3">
      <c r="C10" s="21"/>
      <c r="D10" s="4"/>
      <c r="E10" s="4"/>
      <c r="H10" s="20"/>
      <c r="I10" s="5"/>
      <c r="J10" s="17" t="s">
        <v>41</v>
      </c>
      <c r="K10" s="18"/>
      <c r="L10" s="78"/>
      <c r="N10" s="17"/>
      <c r="O10" s="17"/>
      <c r="T10" s="31">
        <v>6</v>
      </c>
      <c r="U10" s="25">
        <v>0.8</v>
      </c>
      <c r="W10" s="28"/>
      <c r="X10" s="37"/>
    </row>
    <row r="11" spans="2:24" ht="15.75" customHeight="1" x14ac:dyDescent="0.3">
      <c r="J11" s="17" t="s">
        <v>46</v>
      </c>
      <c r="K11" s="18"/>
      <c r="L11" s="82"/>
      <c r="N11" s="17"/>
      <c r="O11" s="17"/>
      <c r="T11" s="31">
        <v>7</v>
      </c>
      <c r="U11" s="25">
        <v>0.76</v>
      </c>
    </row>
    <row r="12" spans="2:24" ht="15.75" customHeight="1" x14ac:dyDescent="0.3">
      <c r="C12" s="23" t="s">
        <v>30</v>
      </c>
      <c r="F12" s="50">
        <f>IFERROR(IF(K4=R7,0,IF(L15=W8,IF(K4=R4,(L9-F5)/L5*L6,IF(K4=R6,(L9-F5)*0.25*(1+L14),(L9-F5)/L5*L6*(1+L14)))/2,IF(K4=R4,(L9-F5)/L5*L6,IF(K4=R6,(L9-F5)*0.25*(1+L14),(L9-F5)/L5*L6*(1+L14))))),0)</f>
        <v>0</v>
      </c>
      <c r="H12" s="5"/>
      <c r="J12" s="17" t="s">
        <v>54</v>
      </c>
      <c r="K12" s="18"/>
      <c r="L12" s="81"/>
      <c r="N12" s="17"/>
      <c r="O12" s="17"/>
      <c r="T12" s="31">
        <v>8</v>
      </c>
      <c r="U12" s="25">
        <v>0.73</v>
      </c>
    </row>
    <row r="13" spans="2:24" ht="15.75" customHeight="1" x14ac:dyDescent="0.3">
      <c r="C13" s="23" t="s">
        <v>32</v>
      </c>
      <c r="F13" s="48">
        <f>IFERROR(IF((-F5-L11-((L9-F5)*(L19-0.1%)*L18/12/30*P19*(1-N20)*(1-N21)))/(F12/1000)&lt;0,0,(-(F5+L11)-((L9-F5)*(L19-0.1%)*L18/12/30*P19*(1-N20)*(1-N21)))/(F12/1000)),0)</f>
        <v>0</v>
      </c>
      <c r="G13" s="7"/>
      <c r="H13" s="5"/>
      <c r="J13" s="17"/>
      <c r="K13" s="18"/>
      <c r="N13" s="17"/>
      <c r="O13" s="17"/>
      <c r="T13" s="31">
        <v>9</v>
      </c>
      <c r="U13" s="25">
        <v>0.7</v>
      </c>
    </row>
    <row r="14" spans="2:24" ht="15.75" customHeight="1" x14ac:dyDescent="0.3">
      <c r="F14" s="4"/>
      <c r="G14" s="7"/>
      <c r="J14" s="17" t="s">
        <v>52</v>
      </c>
      <c r="K14" s="18"/>
      <c r="L14" s="83"/>
      <c r="N14" s="17"/>
      <c r="O14" s="17"/>
      <c r="T14" s="31">
        <v>10</v>
      </c>
      <c r="U14" s="25">
        <v>0.66</v>
      </c>
    </row>
    <row r="15" spans="2:24" ht="15.75" customHeight="1" x14ac:dyDescent="0.3">
      <c r="C15" s="86" t="str">
        <f>IF(AND(F9=0,F12=0),"-",IF(F12=0,IF(F9&gt;0,"Parabéns! Você está LUCRANDO.","PARE! Você terá PREJUÍZOS!"),IF(F12=0,"0",IF(L16&gt;=F13,"Parabéns! Você está gerando milhas com baixo custo e está LUCRANDO.","PARE! O custo do seu milheiro está alto. Você terá PREJUÍZOS!"))))</f>
        <v>-</v>
      </c>
      <c r="D15" s="86"/>
      <c r="E15" s="86"/>
      <c r="F15" s="86"/>
      <c r="G15" s="86"/>
      <c r="H15" s="86"/>
      <c r="J15" s="17" t="s">
        <v>21</v>
      </c>
      <c r="L15" s="84"/>
      <c r="N15" s="56" t="s">
        <v>28</v>
      </c>
      <c r="O15" s="17"/>
      <c r="T15" s="31">
        <v>11</v>
      </c>
      <c r="U15" s="25">
        <v>0.63</v>
      </c>
    </row>
    <row r="16" spans="2:24" ht="15.75" customHeight="1" x14ac:dyDescent="0.3">
      <c r="B16" s="16"/>
      <c r="C16" s="86"/>
      <c r="D16" s="86"/>
      <c r="E16" s="86"/>
      <c r="F16" s="86"/>
      <c r="G16" s="86"/>
      <c r="H16" s="86"/>
      <c r="J16" s="17" t="s">
        <v>40</v>
      </c>
      <c r="K16" s="18"/>
      <c r="L16" s="85">
        <f>N16</f>
        <v>0</v>
      </c>
      <c r="N16" s="75">
        <f>IFERROR(VLOOKUP(L15,W4:X12,2,0),0)</f>
        <v>0</v>
      </c>
      <c r="O16" s="17"/>
      <c r="T16" s="31">
        <v>12</v>
      </c>
      <c r="U16" s="25">
        <v>0.6</v>
      </c>
    </row>
    <row r="17" spans="2:21" ht="15.75" customHeight="1" x14ac:dyDescent="0.3">
      <c r="B17" s="16"/>
      <c r="J17" s="17"/>
      <c r="K17" s="18"/>
      <c r="O17" s="17"/>
      <c r="T17" s="31">
        <v>13</v>
      </c>
      <c r="U17" s="25">
        <v>0.56000000000000005</v>
      </c>
    </row>
    <row r="18" spans="2:21" ht="15.75" customHeight="1" x14ac:dyDescent="0.3">
      <c r="B18" s="16"/>
      <c r="J18" s="17" t="s">
        <v>38</v>
      </c>
      <c r="K18" s="18"/>
      <c r="L18" s="78">
        <v>1.1000000000000001</v>
      </c>
      <c r="N18" s="71" t="s">
        <v>14</v>
      </c>
      <c r="O18" s="17"/>
      <c r="P18" s="56" t="s">
        <v>48</v>
      </c>
      <c r="T18" s="31">
        <v>14</v>
      </c>
      <c r="U18" s="25">
        <v>0.53</v>
      </c>
    </row>
    <row r="19" spans="2:21" ht="15.75" customHeight="1" x14ac:dyDescent="0.3">
      <c r="B19" s="16"/>
      <c r="J19" s="17" t="s">
        <v>39</v>
      </c>
      <c r="K19" s="18"/>
      <c r="L19" s="78">
        <v>0.14249999999999999</v>
      </c>
      <c r="N19" s="17"/>
      <c r="O19" s="17"/>
      <c r="P19" s="72">
        <f>NETWORKDAYS(L12,L7)</f>
        <v>0</v>
      </c>
      <c r="T19" s="31">
        <v>15</v>
      </c>
      <c r="U19" s="25">
        <v>0.5</v>
      </c>
    </row>
    <row r="20" spans="2:21" ht="15.75" customHeight="1" x14ac:dyDescent="0.3">
      <c r="B20" s="16"/>
      <c r="J20" s="77" t="s">
        <v>16</v>
      </c>
      <c r="K20" s="39"/>
      <c r="L20" s="83">
        <f>N20</f>
        <v>0</v>
      </c>
      <c r="N20" s="55">
        <f>IFERROR(IF(P21&lt;31,VLOOKUP(P21,T$5:U$34,2,0),0),0)</f>
        <v>0</v>
      </c>
      <c r="O20" s="17"/>
      <c r="P20" s="56" t="s">
        <v>49</v>
      </c>
      <c r="T20" s="31">
        <v>16</v>
      </c>
      <c r="U20" s="25">
        <v>0.46</v>
      </c>
    </row>
    <row r="21" spans="2:21" ht="15.75" customHeight="1" x14ac:dyDescent="0.3">
      <c r="B21" s="16"/>
      <c r="J21" s="77" t="s">
        <v>17</v>
      </c>
      <c r="K21" s="39"/>
      <c r="L21" s="78">
        <f>N21</f>
        <v>0.22500000000000001</v>
      </c>
      <c r="N21" s="54">
        <v>0.22500000000000001</v>
      </c>
      <c r="O21" s="17"/>
      <c r="P21" s="72">
        <f>_xlfn.DAYS(L7,L12)</f>
        <v>0</v>
      </c>
      <c r="T21" s="31">
        <v>17</v>
      </c>
      <c r="U21" s="25">
        <v>0.43</v>
      </c>
    </row>
    <row r="22" spans="2:21" ht="15.75" customHeight="1" x14ac:dyDescent="0.3">
      <c r="B22" s="16"/>
      <c r="T22" s="31">
        <v>18</v>
      </c>
      <c r="U22" s="25">
        <v>0.4</v>
      </c>
    </row>
    <row r="23" spans="2:21" ht="15.75" customHeight="1" x14ac:dyDescent="0.3">
      <c r="T23" s="31">
        <v>19</v>
      </c>
      <c r="U23" s="25">
        <v>0.36</v>
      </c>
    </row>
    <row r="24" spans="2:21" ht="15.75" customHeight="1" x14ac:dyDescent="0.3">
      <c r="T24" s="31">
        <v>20</v>
      </c>
      <c r="U24" s="25">
        <v>0.33</v>
      </c>
    </row>
    <row r="25" spans="2:21" x14ac:dyDescent="0.3">
      <c r="H25" s="70"/>
      <c r="T25" s="31">
        <v>21</v>
      </c>
      <c r="U25" s="25">
        <v>0.3</v>
      </c>
    </row>
    <row r="26" spans="2:21" x14ac:dyDescent="0.3">
      <c r="H26" s="70"/>
      <c r="T26" s="31">
        <v>22</v>
      </c>
      <c r="U26" s="25">
        <v>0.26</v>
      </c>
    </row>
    <row r="27" spans="2:21" x14ac:dyDescent="0.3">
      <c r="T27" s="31">
        <v>23</v>
      </c>
      <c r="U27" s="25">
        <v>0.23</v>
      </c>
    </row>
    <row r="28" spans="2:21" x14ac:dyDescent="0.3">
      <c r="N28" s="76"/>
      <c r="T28" s="31">
        <v>24</v>
      </c>
      <c r="U28" s="25">
        <v>0.2</v>
      </c>
    </row>
    <row r="29" spans="2:21" x14ac:dyDescent="0.3">
      <c r="T29" s="31">
        <v>25</v>
      </c>
      <c r="U29" s="25">
        <v>0.16</v>
      </c>
    </row>
    <row r="30" spans="2:21" x14ac:dyDescent="0.3">
      <c r="T30" s="31">
        <v>26</v>
      </c>
      <c r="U30" s="25">
        <v>0.13</v>
      </c>
    </row>
    <row r="31" spans="2:21" x14ac:dyDescent="0.3">
      <c r="T31" s="31">
        <v>27</v>
      </c>
      <c r="U31" s="25">
        <v>0.1</v>
      </c>
    </row>
    <row r="32" spans="2:21" x14ac:dyDescent="0.3">
      <c r="T32" s="31">
        <v>28</v>
      </c>
      <c r="U32" s="25">
        <v>0.06</v>
      </c>
    </row>
    <row r="33" spans="20:21" x14ac:dyDescent="0.3">
      <c r="T33" s="31">
        <v>29</v>
      </c>
      <c r="U33" s="25">
        <v>0.03</v>
      </c>
    </row>
    <row r="34" spans="20:21" x14ac:dyDescent="0.3">
      <c r="T34" s="32">
        <v>30</v>
      </c>
      <c r="U34" s="26">
        <v>0</v>
      </c>
    </row>
  </sheetData>
  <sheetProtection algorithmName="SHA-512" hashValue="com+71MSAQFIVX7WOc2RmcW9xKqYWUl824JN3+qKW+AUAXWtoZMbzHrMTRanUQFRz52gZShEbQoS3DdsU8HBNA==" saltValue="6JVV93520QNf6DeltC+1OQ==" spinCount="100000" sheet="1" objects="1" scenarios="1"/>
  <mergeCells count="4">
    <mergeCell ref="C15:H16"/>
    <mergeCell ref="K4:L4"/>
    <mergeCell ref="D2:I2"/>
    <mergeCell ref="T2:U2"/>
  </mergeCells>
  <conditionalFormatting sqref="C15:H16">
    <cfRule type="containsText" dxfId="16" priority="6" operator="containsText" text="Parabéns!">
      <formula>NOT(ISERROR(SEARCH("Parabéns!",C15)))</formula>
    </cfRule>
    <cfRule type="containsText" dxfId="15" priority="7" operator="containsText" text="PARE!">
      <formula>NOT(ISERROR(SEARCH("PARE!",C15)))</formula>
    </cfRule>
  </conditionalFormatting>
  <conditionalFormatting sqref="F5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lessThan">
      <formula>0</formula>
    </cfRule>
  </conditionalFormatting>
  <conditionalFormatting sqref="F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F13">
    <cfRule type="cellIs" dxfId="9" priority="8" operator="lessThan">
      <formula>$L$16</formula>
    </cfRule>
    <cfRule type="cellIs" dxfId="8" priority="9" operator="greaterThan">
      <formula>$L$16</formula>
    </cfRule>
  </conditionalFormatting>
  <conditionalFormatting sqref="L16:M16">
    <cfRule type="cellIs" dxfId="7" priority="4" operator="greaterThan">
      <formula>$N$16</formula>
    </cfRule>
    <cfRule type="cellIs" dxfId="6" priority="5" operator="greaterThan">
      <formula>$N$16</formula>
    </cfRule>
  </conditionalFormatting>
  <dataValidations xWindow="942" yWindow="278" count="4">
    <dataValidation allowBlank="1" showInputMessage="1" showErrorMessage="1" prompt="Se o seu cartão de crédito for PDA Gold ou Platinum, não precisa preencher esta informação." sqref="J8" xr:uid="{00000000-0002-0000-0100-000000000000}"/>
    <dataValidation allowBlank="1" showInputMessage="1" showErrorMessage="1" prompt="Informe &quot;0&quot; se o seu cartão de crédito é um Nubank ou oferece cashback em dinheiro" sqref="L8:M8 M6 L6" xr:uid="{00000000-0002-0000-0100-000001000000}"/>
    <dataValidation type="list" allowBlank="1" showInputMessage="1" showErrorMessage="1" sqref="L15:M15" xr:uid="{00000000-0002-0000-0100-000002000000}">
      <formula1>$W$4:$W$10</formula1>
    </dataValidation>
    <dataValidation type="list" allowBlank="1" showInputMessage="1" showErrorMessage="1" sqref="K4:M4" xr:uid="{00000000-0002-0000-0100-000003000000}">
      <formula1>$R$4:$R$8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r:id="rId1"/>
  <ignoredErrors>
    <ignoredError sqref="L20:L21 L1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4E8C6"/>
  </sheetPr>
  <dimension ref="B1:Y33"/>
  <sheetViews>
    <sheetView showGridLines="0" zoomScaleNormal="100" workbookViewId="0">
      <selection activeCell="Q1" sqref="Q1:Y1048576"/>
    </sheetView>
  </sheetViews>
  <sheetFormatPr baseColWidth="10" defaultColWidth="8.83203125" defaultRowHeight="15" x14ac:dyDescent="0.2"/>
  <cols>
    <col min="1" max="1" width="1" customWidth="1"/>
    <col min="2" max="2" width="5.6640625" customWidth="1"/>
    <col min="3" max="3" width="41" bestFit="1" customWidth="1"/>
    <col min="4" max="4" width="8" customWidth="1"/>
    <col min="5" max="5" width="11.83203125" bestFit="1" customWidth="1"/>
    <col min="6" max="6" width="13.1640625" bestFit="1" customWidth="1"/>
    <col min="7" max="7" width="2.1640625" customWidth="1"/>
    <col min="8" max="8" width="17.6640625" customWidth="1"/>
    <col min="9" max="9" width="4.6640625" customWidth="1"/>
    <col min="10" max="10" width="25.6640625" customWidth="1"/>
    <col min="11" max="11" width="13.5" customWidth="1"/>
    <col min="12" max="12" width="21.6640625" customWidth="1"/>
    <col min="13" max="13" width="0.6640625" customWidth="1"/>
    <col min="14" max="14" width="12.33203125" customWidth="1"/>
    <col min="15" max="15" width="0.5" customWidth="1"/>
    <col min="16" max="16" width="9" bestFit="1" customWidth="1"/>
    <col min="17" max="17" width="9.1640625" hidden="1" customWidth="1"/>
    <col min="18" max="18" width="46.33203125" hidden="1" customWidth="1"/>
    <col min="19" max="19" width="9.1640625" hidden="1" customWidth="1"/>
    <col min="20" max="20" width="9.1640625" style="11" hidden="1" customWidth="1"/>
    <col min="21" max="22" width="9.1640625" hidden="1" customWidth="1"/>
    <col min="23" max="23" width="11.5" hidden="1" customWidth="1"/>
    <col min="24" max="24" width="11.33203125" hidden="1" customWidth="1"/>
    <col min="25" max="25" width="9.1640625" hidden="1" customWidth="1"/>
    <col min="26" max="26" width="9.1640625" customWidth="1"/>
  </cols>
  <sheetData>
    <row r="1" spans="2:24" ht="21" customHeight="1" x14ac:dyDescent="0.2"/>
    <row r="2" spans="2:24" ht="52.5" customHeight="1" x14ac:dyDescent="0.3">
      <c r="C2" s="10"/>
      <c r="D2" s="9"/>
      <c r="E2" s="88"/>
      <c r="F2" s="88"/>
      <c r="G2" s="88"/>
      <c r="H2" s="88"/>
      <c r="I2" s="88"/>
      <c r="J2" s="9"/>
      <c r="K2" s="9"/>
      <c r="L2" s="9"/>
      <c r="M2" s="9"/>
      <c r="R2" s="35" t="s">
        <v>0</v>
      </c>
      <c r="T2" s="89" t="s">
        <v>18</v>
      </c>
      <c r="U2" s="90"/>
      <c r="W2" s="33" t="str">
        <f>Simplificado!W2</f>
        <v>Cia Aérea</v>
      </c>
      <c r="X2" s="34" t="str">
        <f>Simplificado!X2</f>
        <v>Valor de Segurança do Milheiro</v>
      </c>
    </row>
    <row r="3" spans="2:24" ht="8.2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R3" s="27"/>
      <c r="T3" s="31"/>
      <c r="U3" s="24"/>
      <c r="W3" s="27"/>
      <c r="X3" s="29"/>
    </row>
    <row r="4" spans="2:24" ht="15.75" customHeight="1" x14ac:dyDescent="0.2">
      <c r="B4" s="91" t="s">
        <v>51</v>
      </c>
      <c r="C4" s="1" t="s">
        <v>3</v>
      </c>
      <c r="F4" s="49">
        <f>-L9*L10</f>
        <v>0</v>
      </c>
      <c r="J4" s="18" t="s">
        <v>35</v>
      </c>
      <c r="K4" s="93">
        <f>Simplificado!K4</f>
        <v>0</v>
      </c>
      <c r="L4" s="93"/>
      <c r="M4" s="69"/>
      <c r="N4" s="43"/>
      <c r="R4" s="27" t="s">
        <v>36</v>
      </c>
      <c r="T4" s="31">
        <v>1</v>
      </c>
      <c r="U4" s="25">
        <v>0.96</v>
      </c>
      <c r="W4" s="27" t="s">
        <v>23</v>
      </c>
      <c r="X4" s="30">
        <f>Simplificado!X4</f>
        <v>24</v>
      </c>
    </row>
    <row r="5" spans="2:24" ht="15.75" customHeight="1" x14ac:dyDescent="0.2">
      <c r="B5" s="91"/>
      <c r="D5" s="2" t="s">
        <v>5</v>
      </c>
      <c r="E5" s="2" t="s">
        <v>6</v>
      </c>
      <c r="H5" s="41">
        <f>F6+F4</f>
        <v>0</v>
      </c>
      <c r="J5" s="18" t="s">
        <v>33</v>
      </c>
      <c r="K5" s="57"/>
      <c r="L5" s="58">
        <f>Simplificado!L5</f>
        <v>0</v>
      </c>
      <c r="M5" s="58"/>
      <c r="N5" s="43"/>
      <c r="R5" s="27" t="s">
        <v>1</v>
      </c>
      <c r="T5" s="31">
        <v>2</v>
      </c>
      <c r="U5" s="25">
        <v>0.93</v>
      </c>
      <c r="W5" s="27" t="s">
        <v>24</v>
      </c>
      <c r="X5" s="30">
        <f>Simplificado!X5</f>
        <v>16</v>
      </c>
    </row>
    <row r="6" spans="2:24" ht="15.75" customHeight="1" x14ac:dyDescent="0.2">
      <c r="B6" s="91"/>
      <c r="C6" s="3" t="s">
        <v>8</v>
      </c>
      <c r="D6" s="42">
        <f>IFERROR(E6/($L$9-$F$4),0)</f>
        <v>0</v>
      </c>
      <c r="E6" s="51">
        <f>IFERROR(IF(K4=R7,0,IF(L15=W8,IF(K4=R4,(L9-F4)/L5*L6*L16/1000,IF(K4=R6,(L9-F4)*0.25*(1+L14)*L16/1000,(L9-F4)/L5*L6*(1+L14)*L16/1000))/2,IF(K4=R4,(L9-F4)/L5*L6*L16/1000,IF(K4=R6,(L9-F4)*0.25*(1+L14)*L16/1000,(L9-F4)/L5*L6*(1+L14)*L16/1000)))),0)</f>
        <v>0</v>
      </c>
      <c r="F6" s="94">
        <f>E6+E7+E8</f>
        <v>0</v>
      </c>
      <c r="H6" s="5"/>
      <c r="J6" s="18" t="s">
        <v>34</v>
      </c>
      <c r="K6" s="57"/>
      <c r="L6" s="59">
        <f>Simplificado!L6</f>
        <v>0</v>
      </c>
      <c r="M6" s="59"/>
      <c r="N6" s="44" t="s">
        <v>2</v>
      </c>
      <c r="O6" s="17"/>
      <c r="R6" s="27" t="s">
        <v>9</v>
      </c>
      <c r="T6" s="31">
        <v>3</v>
      </c>
      <c r="U6" s="25">
        <v>0.9</v>
      </c>
      <c r="W6" s="27" t="s">
        <v>27</v>
      </c>
      <c r="X6" s="30">
        <f>Simplificado!X6</f>
        <v>17</v>
      </c>
    </row>
    <row r="7" spans="2:24" ht="15.75" customHeight="1" x14ac:dyDescent="0.2">
      <c r="B7" s="91"/>
      <c r="C7" s="3" t="s">
        <v>15</v>
      </c>
      <c r="D7" s="42">
        <f>(L19-0.1%)*(L18/12/30)*L19*(1-L20)*(1-L21)</f>
        <v>4.7748880208333328E-5</v>
      </c>
      <c r="E7" s="51">
        <f>(L9-F4)*(L19-0.1%)*L18/12/30*P19*(1-L20)*(1-L21)</f>
        <v>0</v>
      </c>
      <c r="F7" s="95"/>
      <c r="H7" s="52" t="s">
        <v>10</v>
      </c>
      <c r="J7" s="18" t="str">
        <f>Simplificado!J7</f>
        <v>Data do Pagamento da fatura do Cartão:</v>
      </c>
      <c r="K7" s="57"/>
      <c r="L7" s="73">
        <f>Simplificado!L7</f>
        <v>0</v>
      </c>
      <c r="M7" s="73"/>
      <c r="N7" s="44"/>
      <c r="O7" s="17"/>
      <c r="R7" s="27" t="s">
        <v>44</v>
      </c>
      <c r="T7" s="31">
        <v>4</v>
      </c>
      <c r="U7" s="25">
        <v>0.86</v>
      </c>
      <c r="W7" s="27" t="s">
        <v>25</v>
      </c>
      <c r="X7" s="30">
        <f>Simplificado!X7</f>
        <v>42</v>
      </c>
    </row>
    <row r="8" spans="2:24" ht="15.75" customHeight="1" x14ac:dyDescent="0.2">
      <c r="B8" s="91"/>
      <c r="C8" s="3" t="s">
        <v>47</v>
      </c>
      <c r="D8" s="42">
        <f>IFERROR(E8/$L$9,0)</f>
        <v>0</v>
      </c>
      <c r="E8" s="51">
        <f>L11</f>
        <v>0</v>
      </c>
      <c r="F8" s="96"/>
      <c r="H8" s="53" t="s">
        <v>50</v>
      </c>
      <c r="J8" s="18"/>
      <c r="K8" s="57"/>
      <c r="L8" s="59"/>
      <c r="M8" s="59"/>
      <c r="N8" s="44"/>
      <c r="O8" s="17"/>
      <c r="R8" s="28"/>
      <c r="T8" s="31">
        <v>5</v>
      </c>
      <c r="U8" s="25">
        <v>0.83</v>
      </c>
      <c r="W8" s="27" t="s">
        <v>26</v>
      </c>
      <c r="X8" s="30">
        <f>Simplificado!X8</f>
        <v>52</v>
      </c>
    </row>
    <row r="9" spans="2:24" ht="15.75" customHeight="1" x14ac:dyDescent="0.2">
      <c r="B9" s="91"/>
      <c r="C9" s="3"/>
      <c r="D9" s="42"/>
      <c r="E9" s="51"/>
      <c r="F9" s="7"/>
      <c r="H9" s="68"/>
      <c r="I9" s="5"/>
      <c r="J9" s="18" t="s">
        <v>4</v>
      </c>
      <c r="K9" s="57"/>
      <c r="L9" s="58">
        <f>Simplificado!L9</f>
        <v>0</v>
      </c>
      <c r="M9" s="58"/>
      <c r="N9" s="44"/>
      <c r="O9" s="17"/>
      <c r="T9" s="31">
        <v>6</v>
      </c>
      <c r="U9" s="25">
        <v>0.8</v>
      </c>
      <c r="W9" s="27" t="s">
        <v>43</v>
      </c>
      <c r="X9" s="30">
        <f>Simplificado!X9</f>
        <v>70</v>
      </c>
    </row>
    <row r="10" spans="2:24" ht="15.75" customHeight="1" x14ac:dyDescent="0.2">
      <c r="B10" s="91"/>
      <c r="F10" s="13" t="s">
        <v>11</v>
      </c>
      <c r="I10" s="5"/>
      <c r="J10" s="18" t="s">
        <v>7</v>
      </c>
      <c r="K10" s="57"/>
      <c r="L10" s="60">
        <f>Simplificado!L10</f>
        <v>0</v>
      </c>
      <c r="M10" s="60"/>
      <c r="N10" s="44"/>
      <c r="O10" s="17"/>
      <c r="T10" s="31">
        <v>7</v>
      </c>
      <c r="U10" s="25">
        <v>0.76</v>
      </c>
      <c r="W10" s="28"/>
      <c r="X10" s="47"/>
    </row>
    <row r="11" spans="2:24" ht="15.75" customHeight="1" x14ac:dyDescent="0.2">
      <c r="B11" s="91"/>
      <c r="C11" s="92" t="str">
        <f>IF(H5=0,"-",IF(F6&gt;=-F4, "Parabéns! Você terá lucro ao realizar este pagamento.", "PARE! O seu cashback é menor que as taxas cobradas pelo aplicativo."))</f>
        <v>-</v>
      </c>
      <c r="D11" s="92"/>
      <c r="E11" s="92"/>
      <c r="F11" s="92"/>
      <c r="G11" s="92"/>
      <c r="J11" s="18" t="s">
        <v>46</v>
      </c>
      <c r="K11" s="38"/>
      <c r="L11" s="58">
        <f>Simplificado!L11</f>
        <v>0</v>
      </c>
      <c r="M11" s="58"/>
      <c r="N11" s="44"/>
      <c r="O11" s="17"/>
      <c r="T11" s="31">
        <v>8</v>
      </c>
      <c r="U11" s="25">
        <v>0.73</v>
      </c>
    </row>
    <row r="12" spans="2:24" ht="15.75" customHeight="1" x14ac:dyDescent="0.2">
      <c r="B12" s="91"/>
      <c r="C12" s="92"/>
      <c r="D12" s="92"/>
      <c r="E12" s="92"/>
      <c r="F12" s="92"/>
      <c r="G12" s="92"/>
      <c r="J12" s="18" t="str">
        <f>Simplificado!J12</f>
        <v>Data do Pagamento do Boleto no Aplicativo:</v>
      </c>
      <c r="K12" s="38"/>
      <c r="L12" s="73">
        <f>Simplificado!L12</f>
        <v>0</v>
      </c>
      <c r="M12" s="73"/>
      <c r="N12" s="44"/>
      <c r="O12" s="17"/>
      <c r="T12" s="31">
        <v>9</v>
      </c>
      <c r="U12" s="25">
        <v>0.7</v>
      </c>
    </row>
    <row r="13" spans="2:24" ht="15.75" customHeight="1" x14ac:dyDescent="0.2">
      <c r="G13" s="7"/>
      <c r="J13" s="18"/>
      <c r="K13" s="57"/>
      <c r="L13" s="59"/>
      <c r="M13" s="59"/>
      <c r="N13" s="44"/>
      <c r="T13" s="31">
        <v>10</v>
      </c>
      <c r="U13" s="25">
        <v>0.66</v>
      </c>
    </row>
    <row r="14" spans="2:24" ht="15.75" customHeight="1" x14ac:dyDescent="0.2">
      <c r="B14" s="91" t="s">
        <v>31</v>
      </c>
      <c r="C14" s="23" t="s">
        <v>30</v>
      </c>
      <c r="D14" s="6"/>
      <c r="F14" s="50">
        <f>IFERROR(IF(K4=R7,0,IF(L15=W8,IF(K4=R4,(L9-F4)/L5*L6,IF(K4=R6,(L9-F4)*0.25*(1+L14),(L9-F4)/L5*L6*(1+L14)))/2,IF(K4=R4,(L9-F4)/L5*L6,IF(K4=R6,(L9-F4)*0.25*(1+L14),(L9-F4)/L5*L6*(1+L14))))),0)</f>
        <v>0</v>
      </c>
      <c r="G14" s="7"/>
      <c r="J14" s="18" t="s">
        <v>37</v>
      </c>
      <c r="K14" s="57"/>
      <c r="L14" s="61">
        <f>Simplificado!L14</f>
        <v>0</v>
      </c>
      <c r="M14" s="61"/>
      <c r="N14" s="44"/>
      <c r="O14" s="17"/>
      <c r="T14" s="31">
        <v>11</v>
      </c>
      <c r="U14" s="25">
        <v>0.63</v>
      </c>
    </row>
    <row r="15" spans="2:24" ht="15.75" customHeight="1" x14ac:dyDescent="0.2">
      <c r="B15" s="91"/>
      <c r="C15" s="23" t="s">
        <v>32</v>
      </c>
      <c r="D15" s="6"/>
      <c r="F15" s="48">
        <f>IFERROR(IF((-F4-E7-E8)/(F14/1000)&lt;0,0,(-F4-E7-E8)/(F14/1000)),0)</f>
        <v>0</v>
      </c>
      <c r="G15" s="7"/>
      <c r="J15" s="18" t="s">
        <v>21</v>
      </c>
      <c r="K15" s="57"/>
      <c r="L15" s="62">
        <f>Simplificado!L15</f>
        <v>0</v>
      </c>
      <c r="M15" s="62"/>
      <c r="N15" s="45" t="s">
        <v>28</v>
      </c>
      <c r="O15" s="17"/>
      <c r="T15" s="31">
        <v>12</v>
      </c>
      <c r="U15" s="25">
        <v>0.6</v>
      </c>
    </row>
    <row r="16" spans="2:24" ht="15.75" customHeight="1" x14ac:dyDescent="0.2">
      <c r="B16" s="91"/>
      <c r="F16" s="4"/>
      <c r="G16" s="7"/>
      <c r="J16" s="18" t="s">
        <v>40</v>
      </c>
      <c r="K16" s="57"/>
      <c r="L16" s="58">
        <f>Simplificado!L16</f>
        <v>0</v>
      </c>
      <c r="M16" s="58"/>
      <c r="N16" s="46">
        <f>IFERROR(VLOOKUP(L15,W4:X12,2,0),0)</f>
        <v>0</v>
      </c>
      <c r="O16" s="17"/>
      <c r="T16" s="31">
        <v>13</v>
      </c>
      <c r="U16" s="25">
        <v>0.56000000000000005</v>
      </c>
    </row>
    <row r="17" spans="2:21" ht="15.75" customHeight="1" x14ac:dyDescent="0.2">
      <c r="B17" s="91"/>
      <c r="J17" s="18"/>
      <c r="K17" s="57"/>
      <c r="L17" s="59"/>
      <c r="M17" s="59"/>
      <c r="N17" s="43"/>
      <c r="O17" s="17"/>
      <c r="T17" s="31">
        <v>14</v>
      </c>
      <c r="U17" s="25">
        <v>0.53</v>
      </c>
    </row>
    <row r="18" spans="2:21" ht="15.75" customHeight="1" x14ac:dyDescent="0.2">
      <c r="B18" s="91"/>
      <c r="C18" s="92" t="str">
        <f>IF(F14=0,"-",IF(L16&gt;=F15,"Parabéns! Você está gerando milhas com baixo custo.","PARE! O custo do seu milheiro é maior que o Valor de Venda informado."))</f>
        <v>-</v>
      </c>
      <c r="D18" s="92"/>
      <c r="E18" s="92"/>
      <c r="F18" s="92"/>
      <c r="G18" s="92"/>
      <c r="J18" s="18" t="s">
        <v>12</v>
      </c>
      <c r="K18" s="57"/>
      <c r="L18" s="60">
        <f>Simplificado!L18</f>
        <v>1.1000000000000001</v>
      </c>
      <c r="M18" s="60"/>
      <c r="N18" s="74" t="s">
        <v>14</v>
      </c>
      <c r="O18" s="17"/>
      <c r="P18" s="56" t="s">
        <v>48</v>
      </c>
      <c r="T18" s="31">
        <v>15</v>
      </c>
      <c r="U18" s="25">
        <v>0.5</v>
      </c>
    </row>
    <row r="19" spans="2:21" ht="15.75" customHeight="1" x14ac:dyDescent="0.2">
      <c r="B19" s="91"/>
      <c r="C19" s="92"/>
      <c r="D19" s="92"/>
      <c r="E19" s="92"/>
      <c r="F19" s="92"/>
      <c r="G19" s="92"/>
      <c r="J19" s="18" t="s">
        <v>13</v>
      </c>
      <c r="K19" s="57"/>
      <c r="L19" s="60">
        <f>Simplificado!L19</f>
        <v>0.14249999999999999</v>
      </c>
      <c r="M19" s="60"/>
      <c r="N19" s="44"/>
      <c r="P19" s="72">
        <f>NETWORKDAYS(L12,L7)</f>
        <v>0</v>
      </c>
      <c r="T19" s="31">
        <v>16</v>
      </c>
      <c r="U19" s="25">
        <v>0.46</v>
      </c>
    </row>
    <row r="20" spans="2:21" ht="15.75" customHeight="1" x14ac:dyDescent="0.2">
      <c r="B20" s="15"/>
      <c r="J20" s="19" t="s">
        <v>16</v>
      </c>
      <c r="K20" s="63"/>
      <c r="L20" s="64">
        <f>IFERROR(IF(P21&lt;31,VLOOKUP(P21,T$5:U$34,2,0),0),0)</f>
        <v>0</v>
      </c>
      <c r="M20" s="64"/>
      <c r="N20" s="44"/>
      <c r="P20" s="56" t="s">
        <v>49</v>
      </c>
      <c r="T20" s="31">
        <v>17</v>
      </c>
      <c r="U20" s="25">
        <v>0.43</v>
      </c>
    </row>
    <row r="21" spans="2:21" ht="15.75" customHeight="1" x14ac:dyDescent="0.2">
      <c r="B21" s="12"/>
      <c r="J21" s="19" t="s">
        <v>17</v>
      </c>
      <c r="K21" s="63"/>
      <c r="L21" s="64">
        <f>Simplificado!N21</f>
        <v>0.22500000000000001</v>
      </c>
      <c r="M21" s="64"/>
      <c r="N21" s="44"/>
      <c r="P21" s="72">
        <f>_xlfn.DAYS(L7,L12)</f>
        <v>0</v>
      </c>
      <c r="T21" s="31">
        <v>18</v>
      </c>
      <c r="U21" s="25">
        <v>0.4</v>
      </c>
    </row>
    <row r="22" spans="2:21" ht="15.75" customHeight="1" x14ac:dyDescent="0.2">
      <c r="T22" s="31">
        <v>19</v>
      </c>
      <c r="U22" s="25">
        <v>0.36</v>
      </c>
    </row>
    <row r="23" spans="2:21" ht="15.75" customHeight="1" x14ac:dyDescent="0.2">
      <c r="T23" s="31">
        <v>20</v>
      </c>
      <c r="U23" s="25">
        <v>0.33</v>
      </c>
    </row>
    <row r="24" spans="2:21" ht="15.75" customHeight="1" x14ac:dyDescent="0.2">
      <c r="T24" s="31">
        <v>21</v>
      </c>
      <c r="U24" s="25">
        <v>0.3</v>
      </c>
    </row>
    <row r="25" spans="2:21" x14ac:dyDescent="0.2">
      <c r="T25" s="31">
        <v>22</v>
      </c>
      <c r="U25" s="25">
        <v>0.26</v>
      </c>
    </row>
    <row r="26" spans="2:21" x14ac:dyDescent="0.2">
      <c r="T26" s="31">
        <v>23</v>
      </c>
      <c r="U26" s="25">
        <v>0.23</v>
      </c>
    </row>
    <row r="27" spans="2:21" x14ac:dyDescent="0.2">
      <c r="T27" s="31">
        <v>24</v>
      </c>
      <c r="U27" s="25">
        <v>0.2</v>
      </c>
    </row>
    <row r="28" spans="2:21" x14ac:dyDescent="0.2">
      <c r="T28" s="31">
        <v>25</v>
      </c>
      <c r="U28" s="25">
        <v>0.16</v>
      </c>
    </row>
    <row r="29" spans="2:21" x14ac:dyDescent="0.2">
      <c r="T29" s="31">
        <v>26</v>
      </c>
      <c r="U29" s="25">
        <v>0.13</v>
      </c>
    </row>
    <row r="30" spans="2:21" x14ac:dyDescent="0.2">
      <c r="T30" s="31">
        <v>27</v>
      </c>
      <c r="U30" s="25">
        <v>0.1</v>
      </c>
    </row>
    <row r="31" spans="2:21" x14ac:dyDescent="0.2">
      <c r="T31" s="31">
        <v>28</v>
      </c>
      <c r="U31" s="25">
        <v>0.06</v>
      </c>
    </row>
    <row r="32" spans="2:21" x14ac:dyDescent="0.2">
      <c r="T32" s="31">
        <v>29</v>
      </c>
      <c r="U32" s="25">
        <v>0.03</v>
      </c>
    </row>
    <row r="33" spans="20:21" x14ac:dyDescent="0.2">
      <c r="T33" s="32">
        <v>30</v>
      </c>
      <c r="U33" s="26">
        <v>0</v>
      </c>
    </row>
  </sheetData>
  <sheetProtection algorithmName="SHA-512" hashValue="nWa4H8k133a53q6txLgFyrwyxvZOMrMc5GgWPcsZxn7ZkhTkQwm7PfYsQnoNXWiUP6FhurtfGjFtf/FW4/stFg==" saltValue="LGc4Dn79HluU37pScZpmnQ==" spinCount="100000" sheet="1" objects="1" scenarios="1"/>
  <mergeCells count="8">
    <mergeCell ref="B4:B12"/>
    <mergeCell ref="B14:B19"/>
    <mergeCell ref="T2:U2"/>
    <mergeCell ref="C18:G19"/>
    <mergeCell ref="K4:L4"/>
    <mergeCell ref="E2:I2"/>
    <mergeCell ref="C11:G12"/>
    <mergeCell ref="F6:F8"/>
  </mergeCells>
  <conditionalFormatting sqref="C11 C18">
    <cfRule type="containsText" dxfId="5" priority="3" operator="containsText" text="Parabéns!">
      <formula>NOT(ISERROR(SEARCH("Parabéns!",C11)))</formula>
    </cfRule>
    <cfRule type="containsText" dxfId="4" priority="4" operator="containsText" text="PARE!">
      <formula>NOT(ISERROR(SEARCH("PARE!",C11)))</formula>
    </cfRule>
  </conditionalFormatting>
  <conditionalFormatting sqref="F15">
    <cfRule type="cellIs" dxfId="3" priority="7" operator="lessThan">
      <formula>$L$16</formula>
    </cfRule>
    <cfRule type="cellIs" dxfId="2" priority="8" operator="greaterThan">
      <formula>$L$16</formula>
    </cfRule>
  </conditionalFormatting>
  <conditionalFormatting sqref="H5">
    <cfRule type="cellIs" dxfId="1" priority="5" operator="lessThan">
      <formula>0</formula>
    </cfRule>
    <cfRule type="cellIs" dxfId="0" priority="6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Simplificado</vt:lpstr>
      <vt:lpstr>Detalhado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Teixeira Lima</dc:creator>
  <cp:lastModifiedBy>92</cp:lastModifiedBy>
  <dcterms:created xsi:type="dcterms:W3CDTF">2022-06-22T00:01:01Z</dcterms:created>
  <dcterms:modified xsi:type="dcterms:W3CDTF">2025-04-07T13:52:04Z</dcterms:modified>
</cp:coreProperties>
</file>