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6- Divisão de Cargas elétricas ( Indústria)\Aula 76\"/>
    </mc:Choice>
  </mc:AlternateContent>
  <bookViews>
    <workbookView xWindow="0" yWindow="0" windowWidth="11895" windowHeight="5595" tabRatio="597" firstSheet="3" activeTab="4"/>
  </bookViews>
  <sheets>
    <sheet name="Rca Xl" sheetId="4" r:id="rId1"/>
    <sheet name="FCA-FCT" sheetId="13" r:id="rId2"/>
    <sheet name="Tabela eletroduto" sheetId="209" r:id="rId3"/>
    <sheet name="Tabela Cabos" sheetId="233" r:id="rId4"/>
    <sheet name="QD-11" sheetId="232" r:id="rId5"/>
  </sheets>
  <definedNames>
    <definedName name="_xlnm._FilterDatabase" localSheetId="4" hidden="1">'QD-11'!$A$2:$AW$69</definedName>
  </definedNames>
  <calcPr calcId="162913" concurrentCalc="0"/>
</workbook>
</file>

<file path=xl/calcChain.xml><?xml version="1.0" encoding="utf-8"?>
<calcChain xmlns="http://schemas.openxmlformats.org/spreadsheetml/2006/main">
  <c r="I18" i="232" l="1"/>
  <c r="L18" i="232"/>
  <c r="O18" i="232"/>
  <c r="AU18" i="232"/>
  <c r="I16" i="232"/>
  <c r="I17" i="232"/>
  <c r="L16" i="232"/>
  <c r="O16" i="232"/>
  <c r="AV16" i="232"/>
  <c r="I12" i="232"/>
  <c r="L12" i="232"/>
  <c r="O12" i="232"/>
  <c r="AV12" i="232"/>
  <c r="I13" i="232"/>
  <c r="L13" i="232"/>
  <c r="O13" i="232"/>
  <c r="AU13" i="232"/>
  <c r="I19" i="232"/>
  <c r="L19" i="232"/>
  <c r="O19" i="232"/>
  <c r="AW19" i="232"/>
  <c r="I15" i="232"/>
  <c r="I14" i="232"/>
  <c r="L14" i="232"/>
  <c r="O14" i="232"/>
  <c r="AW14" i="232"/>
  <c r="I11" i="232"/>
  <c r="L11" i="232"/>
  <c r="O11" i="232"/>
  <c r="AW11" i="232"/>
  <c r="I10" i="232"/>
  <c r="L10" i="232"/>
  <c r="O10" i="232"/>
  <c r="AV10" i="232"/>
  <c r="I9" i="232"/>
  <c r="L9" i="232"/>
  <c r="O9" i="232"/>
  <c r="AU9" i="232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L15" i="232"/>
  <c r="L17" i="232"/>
  <c r="I20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S10" i="232"/>
  <c r="S13" i="232"/>
  <c r="S14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AD10" i="232"/>
  <c r="W10" i="232"/>
  <c r="AE10" i="232"/>
  <c r="AD12" i="232"/>
  <c r="S12" i="232"/>
  <c r="W12" i="232"/>
  <c r="AE12" i="232"/>
  <c r="AD13" i="232"/>
  <c r="W13" i="232"/>
  <c r="AE13" i="232"/>
  <c r="AD14" i="232"/>
  <c r="W14" i="232"/>
  <c r="AE14" i="232"/>
  <c r="AD15" i="232"/>
  <c r="O15" i="232"/>
  <c r="S15" i="232"/>
  <c r="W15" i="232"/>
  <c r="AE15" i="232"/>
  <c r="AD16" i="232"/>
  <c r="S16" i="232"/>
  <c r="W16" i="232"/>
  <c r="AE16" i="232"/>
  <c r="AD18" i="232"/>
  <c r="W18" i="232"/>
  <c r="AE18" i="232"/>
  <c r="AD19" i="232"/>
  <c r="W19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J20" i="232"/>
  <c r="M20" i="232"/>
  <c r="P20" i="232"/>
  <c r="AR19" i="232"/>
  <c r="AL19" i="232"/>
  <c r="AN19" i="232"/>
  <c r="AM19" i="232"/>
  <c r="AF19" i="232"/>
  <c r="Z19" i="232"/>
  <c r="J19" i="232"/>
  <c r="M19" i="232"/>
  <c r="P19" i="232"/>
  <c r="AR18" i="232"/>
  <c r="AL18" i="232"/>
  <c r="AN18" i="232"/>
  <c r="AM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AL14" i="232"/>
  <c r="AM14" i="232"/>
  <c r="AN14" i="232"/>
  <c r="AF14" i="232"/>
  <c r="Z14" i="232"/>
  <c r="J14" i="232"/>
  <c r="J15" i="232"/>
  <c r="M14" i="232"/>
  <c r="P14" i="232"/>
  <c r="AR13" i="232"/>
  <c r="AL13" i="232"/>
  <c r="AN13" i="232"/>
  <c r="AM13" i="232"/>
  <c r="AF13" i="232"/>
  <c r="Z13" i="232"/>
  <c r="J13" i="232"/>
  <c r="M13" i="232"/>
  <c r="P13" i="232"/>
  <c r="AR12" i="232"/>
  <c r="AM12" i="232"/>
  <c r="AL12" i="232"/>
  <c r="AN12" i="232"/>
  <c r="AF12" i="232"/>
  <c r="AR11" i="232"/>
  <c r="AM11" i="232"/>
  <c r="AL11" i="232"/>
  <c r="AN11" i="232"/>
  <c r="AD11" i="232"/>
  <c r="AR10" i="232"/>
  <c r="AL10" i="232"/>
  <c r="AM10" i="232"/>
  <c r="AN10" i="232"/>
  <c r="AF10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Z12" i="232"/>
  <c r="Z15" i="232"/>
  <c r="Z16" i="232"/>
  <c r="J9" i="232"/>
  <c r="J12" i="232"/>
  <c r="M11" i="232"/>
  <c r="P11" i="232"/>
  <c r="M12" i="232"/>
  <c r="P12" i="232"/>
  <c r="M15" i="232"/>
  <c r="P15" i="232"/>
  <c r="J16" i="232"/>
  <c r="M16" i="232"/>
  <c r="P16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J61" i="232"/>
  <c r="G61" i="232"/>
  <c r="M9" i="232"/>
  <c r="Z11" i="232"/>
  <c r="AT11" i="232"/>
  <c r="AE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  <c r="AF11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<sst xmlns="http://schemas.openxmlformats.org/spreadsheetml/2006/main" count="284" uniqueCount="199">
  <si>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</si>
  <si>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</si>
  <si>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</si>
  <si>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</si>
  <si>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</si>
  <si>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</si>
  <si>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</si>
  <si>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</si>
  <si>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</si>
  <si>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</si>
  <si>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</si>
  <si>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</si>
  <si>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</si>
  <si>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</si>
  <si>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</si>
  <si>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</si>
  <si>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</si>
  <si>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</si>
  <si>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</si>
  <si>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</si>
  <si>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</si>
  <si>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</si>
  <si>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</si>
  <si>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</si>
  <si>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</si>
  <si>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</si>
  <si>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</si>
  <si>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</si>
  <si>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</si>
  <si>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</si>
  <si>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</si>
  <si>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</si>
  <si>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</si>
  <si>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</si>
  <si>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</si>
  <si>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</si>
  <si>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</si>
  <si>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</si>
  <si>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</si>
  <si>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</si>
  <si>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</si>
  <si>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</si>
  <si>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</si>
  <si>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</si>
  <si>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</si>
  <si>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</si>
  <si>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</si>
  <si>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</si>
  <si>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</si>
  <si>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</si>
  <si>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</si>
  <si>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</si>
  <si>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</si>
  <si>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</si>
  <si>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</si>
  <si>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</si>
  <si>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</si>
  <si>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</si>
  <si>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</si>
  <si>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</si>
  <si>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</si>
  <si>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</si>
  <si>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</si>
  <si>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</si>
  <si>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</si>
  <si>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</si>
  <si>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</si>
  <si>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</si>
  <si>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</si>
  <si>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</si>
  <si>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</si>
  <si>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</si>
  <si>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</si>
  <si>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</si>
  <si>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</si>
  <si>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</si>
  <si>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</si>
  <si>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</si>
  <si>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</si>
  <si>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</si>
  <si>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</si>
  <si>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</si>
  <si>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</si>
  <si>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</si>
  <si>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</si>
  <si>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</si>
  <si>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</si>
  <si>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</si>
  <si>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</si>
  <si>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</si>
  <si>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</si>
  <si>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</si>
  <si>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</si>
  <si>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</si>
  <si>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</si>
  <si>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</si>
  <si>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</si>
  <si>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</si>
  <si>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</si>
  <si>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</si>
  <si>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</si>
  <si>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</si>
  <si>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</si>
  <si>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</si>
  <si>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</si>
  <si>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</si>
  <si>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</si>
  <si>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</si>
  <si>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</si>
  <si>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</si>
  <si>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</si>
  <si>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</si>
  <si>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</si>
  <si>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</si>
  <si>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</si>
  <si>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</si>
  <si>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</si>
  <si>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</si>
  <si>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</si>
  <si>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</si>
  <si>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</si>
  <si>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</si>
  <si>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</si>
  <si>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</si>
  <si>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</si>
  <si>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</si>
  <si>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</si>
  <si>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</si>
  <si>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</si>
  <si>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</si>
  <si>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</si>
  <si>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</si>
  <si>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</si>
  <si>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</si>
  <si>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</si>
  <si>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</si>
  <si>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</si>
  <si>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</si>
  <si>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</si>
  <si>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</si>
  <si>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</si>
  <si>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</si>
  <si>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</si>
  <si>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</si>
  <si>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</si>
  <si>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</si>
  <si>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</si>
  <si>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</si>
  <si>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</si>
  <si>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</si>
  <si>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</si>
  <si>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</si>
  <si>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</si>
  <si>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</si>
  <si>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</si>
  <si>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</si>
  <si>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</si>
  <si>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</si>
  <si>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</si>
  <si>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</si>
  <si>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</si>
  <si>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</si>
  <si>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</si>
  <si>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</si>
  <si>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</si>
  <si>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</si>
  <si>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</si>
  <si>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</si>
  <si>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</si>
  <si>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</si>
  <si>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</si>
  <si>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</si>
  <si>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</si>
  <si>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</si>
  <si>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</si>
  <si>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</si>
  <si>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</si>
  <si>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</si>
  <si>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</si>
  <si>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</si>
  <si>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</si>
  <si>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</si>
  <si>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</si>
  <si>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</si>
  <si>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</si>
  <si>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</si>
  <si>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</si>
  <si>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</si>
  <si>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</si>
  <si>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</si>
  <si>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</si>
  <si>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2 (380/220 V)</t>
  </si>
  <si>
    <t>Luminária de LED de 38W sobrepor / PRODUÇÃO 1</t>
  </si>
  <si>
    <t>Luminária de LED de 38W sobrepor / PRODUÇÃO 2</t>
  </si>
  <si>
    <t>Luminária de LED de 38W sobrepor / PRODUÇÃO 3</t>
  </si>
  <si>
    <t>Luminária de LED de 38W sobrepor / PRODUÇÃO 4</t>
  </si>
  <si>
    <t>Luminária de LED de 38W sobrepor / PRODUÇÃO 5</t>
  </si>
  <si>
    <t>Luminária de LED de 38W sobrepor / PRODUÇÃO 6</t>
  </si>
  <si>
    <t>QUADRO: QD-11 (ILUMINAÇÃO)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</si>
</sst>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6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37" fontId="42" fillId="5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11" t="s">
        <v>19</v>
      </c>
      <c r="C2" s="211"/>
      <c r="D2" s="211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topLeftCell="A14" zoomScale="115" zoomScaleNormal="115" workbookViewId="0">
      <selection activeCell="J7" sqref="J7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12" t="s">
        <v>55</v>
      </c>
      <c r="B3" s="212" t="s">
        <v>62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3">
      <c r="A4" s="212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22">
        <v>1</v>
      </c>
      <c r="C5" s="222">
        <v>0.8</v>
      </c>
      <c r="D5" s="222">
        <v>0.7</v>
      </c>
      <c r="E5" s="222">
        <v>0.65</v>
      </c>
      <c r="F5" s="222">
        <v>0.6</v>
      </c>
      <c r="G5" s="222">
        <v>0.56999999999999995</v>
      </c>
      <c r="H5" s="222">
        <v>0.54</v>
      </c>
      <c r="I5" s="222">
        <v>0.52</v>
      </c>
      <c r="J5" s="222">
        <v>0.5</v>
      </c>
      <c r="K5" s="222">
        <v>0.45</v>
      </c>
      <c r="L5" s="222">
        <v>0.41</v>
      </c>
      <c r="M5" s="222">
        <v>0.38</v>
      </c>
    </row>
    <row r="6" spans="1:13">
      <c r="A6" s="28" t="s">
        <v>56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13" t="s">
        <v>67</v>
      </c>
      <c r="L7" s="214"/>
      <c r="M7" s="215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16"/>
      <c r="L8" s="217"/>
      <c r="M8" s="218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16"/>
      <c r="L9" s="217"/>
      <c r="M9" s="218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19"/>
      <c r="L10" s="220"/>
      <c r="M10" s="221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23" t="s">
        <v>154</v>
      </c>
      <c r="B14" s="224"/>
      <c r="C14" s="224"/>
      <c r="D14" s="225"/>
      <c r="E14" s="116"/>
      <c r="F14" s="226" t="s">
        <v>155</v>
      </c>
      <c r="G14" s="227"/>
      <c r="H14" s="227"/>
      <c r="I14" s="227"/>
      <c r="J14" s="228"/>
    </row>
    <row r="15" spans="1:13" ht="13.5" thickBot="1">
      <c r="A15" s="229" t="s">
        <v>156</v>
      </c>
      <c r="B15" s="231" t="s">
        <v>157</v>
      </c>
      <c r="C15" s="232"/>
      <c r="D15" s="233"/>
      <c r="E15" s="116"/>
      <c r="F15" s="234" t="s">
        <v>156</v>
      </c>
      <c r="G15" s="235"/>
      <c r="H15" s="231" t="s">
        <v>157</v>
      </c>
      <c r="I15" s="232"/>
      <c r="J15" s="233"/>
    </row>
    <row r="16" spans="1:13" ht="13.5" thickBot="1">
      <c r="A16" s="230"/>
      <c r="B16" s="117" t="s">
        <v>29</v>
      </c>
      <c r="C16" s="231" t="s">
        <v>158</v>
      </c>
      <c r="D16" s="233"/>
      <c r="E16" s="116"/>
      <c r="F16" s="236"/>
      <c r="G16" s="237"/>
      <c r="H16" s="118" t="s">
        <v>29</v>
      </c>
      <c r="I16" s="238" t="s">
        <v>158</v>
      </c>
      <c r="J16" s="239"/>
    </row>
    <row r="17" spans="1:10">
      <c r="A17" s="119">
        <v>10</v>
      </c>
      <c r="B17" s="120">
        <v>1.22</v>
      </c>
      <c r="C17" s="240">
        <v>1.1499999999999999</v>
      </c>
      <c r="D17" s="241"/>
      <c r="E17" s="116"/>
      <c r="F17" s="242">
        <v>10</v>
      </c>
      <c r="G17" s="243"/>
      <c r="H17" s="121">
        <v>1.1000000000000001</v>
      </c>
      <c r="I17" s="244">
        <v>1.07</v>
      </c>
      <c r="J17" s="245"/>
    </row>
    <row r="18" spans="1:10">
      <c r="A18" s="122">
        <v>15</v>
      </c>
      <c r="B18" s="123">
        <v>1.17</v>
      </c>
      <c r="C18" s="246">
        <v>1.1200000000000001</v>
      </c>
      <c r="D18" s="247"/>
      <c r="E18" s="116"/>
      <c r="F18" s="248">
        <v>15</v>
      </c>
      <c r="G18" s="249"/>
      <c r="H18" s="124">
        <v>1.05</v>
      </c>
      <c r="I18" s="250">
        <v>1.04</v>
      </c>
      <c r="J18" s="251"/>
    </row>
    <row r="19" spans="1:10">
      <c r="A19" s="125">
        <v>25</v>
      </c>
      <c r="B19" s="126">
        <v>1.1200000000000001</v>
      </c>
      <c r="C19" s="252">
        <v>1.08</v>
      </c>
      <c r="D19" s="253"/>
      <c r="E19" s="116"/>
      <c r="F19" s="254">
        <v>25</v>
      </c>
      <c r="G19" s="255"/>
      <c r="H19" s="127">
        <v>0.95</v>
      </c>
      <c r="I19" s="256">
        <v>0.96</v>
      </c>
      <c r="J19" s="257"/>
    </row>
    <row r="20" spans="1:10">
      <c r="A20" s="128">
        <v>30</v>
      </c>
      <c r="B20" s="126">
        <v>1.06</v>
      </c>
      <c r="C20" s="252">
        <v>1.04</v>
      </c>
      <c r="D20" s="253"/>
      <c r="E20" s="116"/>
      <c r="F20" s="254">
        <v>30</v>
      </c>
      <c r="G20" s="255"/>
      <c r="H20" s="127">
        <v>0.89</v>
      </c>
      <c r="I20" s="256">
        <v>0.93</v>
      </c>
      <c r="J20" s="257"/>
    </row>
    <row r="21" spans="1:10">
      <c r="A21" s="125">
        <v>35</v>
      </c>
      <c r="B21" s="126">
        <v>0.94</v>
      </c>
      <c r="C21" s="252">
        <v>0.96</v>
      </c>
      <c r="D21" s="253"/>
      <c r="E21" s="116"/>
      <c r="F21" s="254">
        <v>35</v>
      </c>
      <c r="G21" s="255"/>
      <c r="H21" s="127">
        <v>0.84</v>
      </c>
      <c r="I21" s="256">
        <v>0.89</v>
      </c>
      <c r="J21" s="257"/>
    </row>
    <row r="22" spans="1:10">
      <c r="A22" s="129">
        <v>40</v>
      </c>
      <c r="B22" s="123">
        <v>0.87</v>
      </c>
      <c r="C22" s="246">
        <v>0.91</v>
      </c>
      <c r="D22" s="247"/>
      <c r="E22" s="116"/>
      <c r="F22" s="248">
        <v>40</v>
      </c>
      <c r="G22" s="249"/>
      <c r="H22" s="124">
        <v>0.77</v>
      </c>
      <c r="I22" s="250">
        <v>0.85</v>
      </c>
      <c r="J22" s="251"/>
    </row>
    <row r="23" spans="1:10">
      <c r="A23" s="122">
        <v>45</v>
      </c>
      <c r="B23" s="123">
        <v>0.79</v>
      </c>
      <c r="C23" s="246">
        <v>0.87</v>
      </c>
      <c r="D23" s="247"/>
      <c r="E23" s="116"/>
      <c r="F23" s="248">
        <v>45</v>
      </c>
      <c r="G23" s="249"/>
      <c r="H23" s="124">
        <v>0.71</v>
      </c>
      <c r="I23" s="250">
        <v>0.8</v>
      </c>
      <c r="J23" s="251"/>
    </row>
    <row r="24" spans="1:10">
      <c r="A24" s="129">
        <v>50</v>
      </c>
      <c r="B24" s="123">
        <v>0.71</v>
      </c>
      <c r="C24" s="246">
        <v>0.82</v>
      </c>
      <c r="D24" s="247"/>
      <c r="E24" s="116"/>
      <c r="F24" s="248">
        <v>50</v>
      </c>
      <c r="G24" s="249"/>
      <c r="H24" s="124">
        <v>0.63</v>
      </c>
      <c r="I24" s="250">
        <v>0.76</v>
      </c>
      <c r="J24" s="251"/>
    </row>
    <row r="25" spans="1:10">
      <c r="A25" s="122">
        <v>55</v>
      </c>
      <c r="B25" s="123">
        <v>0.61</v>
      </c>
      <c r="C25" s="246">
        <v>0.76</v>
      </c>
      <c r="D25" s="247"/>
      <c r="E25" s="116"/>
      <c r="F25" s="248">
        <v>55</v>
      </c>
      <c r="G25" s="249"/>
      <c r="H25" s="124">
        <v>0.55000000000000004</v>
      </c>
      <c r="I25" s="250">
        <v>0.71</v>
      </c>
      <c r="J25" s="251"/>
    </row>
    <row r="26" spans="1:10">
      <c r="A26" s="129">
        <v>60</v>
      </c>
      <c r="B26" s="124">
        <v>0.5</v>
      </c>
      <c r="C26" s="246">
        <v>0.71</v>
      </c>
      <c r="D26" s="247"/>
      <c r="E26" s="116"/>
      <c r="F26" s="248">
        <v>60</v>
      </c>
      <c r="G26" s="249"/>
      <c r="H26" s="124">
        <v>0.45</v>
      </c>
      <c r="I26" s="250">
        <v>0.65</v>
      </c>
      <c r="J26" s="251"/>
    </row>
    <row r="27" spans="1:10">
      <c r="A27" s="122">
        <v>65</v>
      </c>
      <c r="B27" s="22" t="s">
        <v>82</v>
      </c>
      <c r="C27" s="246">
        <v>0.65</v>
      </c>
      <c r="D27" s="247"/>
      <c r="E27" s="116"/>
      <c r="F27" s="248">
        <v>65</v>
      </c>
      <c r="G27" s="249"/>
      <c r="H27" s="22" t="s">
        <v>82</v>
      </c>
      <c r="I27" s="250">
        <v>0.6</v>
      </c>
      <c r="J27" s="251"/>
    </row>
    <row r="28" spans="1:10">
      <c r="A28" s="129">
        <v>70</v>
      </c>
      <c r="B28" s="22" t="s">
        <v>82</v>
      </c>
      <c r="C28" s="246">
        <v>0.57999999999999996</v>
      </c>
      <c r="D28" s="247"/>
      <c r="E28" s="116"/>
      <c r="F28" s="248">
        <v>70</v>
      </c>
      <c r="G28" s="249"/>
      <c r="H28" s="22" t="s">
        <v>82</v>
      </c>
      <c r="I28" s="250">
        <v>0.53</v>
      </c>
      <c r="J28" s="251"/>
    </row>
    <row r="29" spans="1:10">
      <c r="A29" s="129">
        <v>75</v>
      </c>
      <c r="B29" s="22" t="s">
        <v>82</v>
      </c>
      <c r="C29" s="250">
        <v>0.5</v>
      </c>
      <c r="D29" s="251"/>
      <c r="E29" s="116"/>
      <c r="F29" s="248">
        <v>75</v>
      </c>
      <c r="G29" s="249"/>
      <c r="H29" s="22" t="s">
        <v>82</v>
      </c>
      <c r="I29" s="250">
        <v>0.46</v>
      </c>
      <c r="J29" s="251"/>
    </row>
    <row r="30" spans="1:10" ht="13.5" thickBot="1">
      <c r="A30" s="130">
        <v>80</v>
      </c>
      <c r="B30" s="131" t="s">
        <v>82</v>
      </c>
      <c r="C30" s="258">
        <v>0.41</v>
      </c>
      <c r="D30" s="259"/>
      <c r="E30" s="116"/>
      <c r="F30" s="260">
        <v>80</v>
      </c>
      <c r="G30" s="261"/>
      <c r="H30" s="131" t="s">
        <v>82</v>
      </c>
      <c r="I30" s="262">
        <v>0.38</v>
      </c>
      <c r="J30" s="263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17:D17"/>
    <mergeCell ref="F17:G17"/>
    <mergeCell ref="I17:J17"/>
    <mergeCell ref="C18:D18"/>
    <mergeCell ref="F18:G18"/>
    <mergeCell ref="I18:J18"/>
    <mergeCell ref="A14:D14"/>
    <mergeCell ref="F14:J14"/>
    <mergeCell ref="A15:A16"/>
    <mergeCell ref="B15:D15"/>
    <mergeCell ref="F15:G16"/>
    <mergeCell ref="H15:J15"/>
    <mergeCell ref="C16:D16"/>
    <mergeCell ref="I16:J16"/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14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64"/>
      <c r="C3" s="264"/>
      <c r="D3" s="264"/>
    </row>
    <row r="4" spans="1:11" s="68" customFormat="1" ht="29.25" customHeight="1">
      <c r="A4" s="265" t="s">
        <v>27</v>
      </c>
      <c r="B4" s="266" t="s">
        <v>28</v>
      </c>
      <c r="C4" s="266"/>
      <c r="D4" s="266"/>
      <c r="F4" s="212" t="s">
        <v>80</v>
      </c>
      <c r="G4" s="212"/>
      <c r="H4" s="212"/>
      <c r="I4" s="212"/>
      <c r="J4" s="212"/>
      <c r="K4" s="212"/>
    </row>
    <row r="5" spans="1:11" s="68" customFormat="1" ht="25.5" customHeight="1">
      <c r="A5" s="265"/>
      <c r="B5" s="266" t="s">
        <v>29</v>
      </c>
      <c r="C5" s="266"/>
      <c r="D5" s="267" t="s">
        <v>32</v>
      </c>
      <c r="F5" s="65" t="s">
        <v>43</v>
      </c>
      <c r="G5" s="65" t="s">
        <v>44</v>
      </c>
      <c r="H5" s="268" t="s">
        <v>47</v>
      </c>
      <c r="I5" s="269"/>
      <c r="J5" s="268" t="s">
        <v>48</v>
      </c>
      <c r="K5" s="269"/>
    </row>
    <row r="6" spans="1:11" s="68" customFormat="1" ht="38.25">
      <c r="A6" s="265"/>
      <c r="B6" s="67" t="s">
        <v>30</v>
      </c>
      <c r="C6" s="67" t="s">
        <v>31</v>
      </c>
      <c r="D6" s="267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70" t="s">
        <v>70</v>
      </c>
      <c r="C7" s="271"/>
      <c r="D7" s="272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12" t="s">
        <v>81</v>
      </c>
      <c r="G18" s="212"/>
      <c r="H18" s="212"/>
      <c r="I18" s="212"/>
      <c r="J18" s="212"/>
      <c r="K18" s="212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68" t="s">
        <v>83</v>
      </c>
      <c r="I19" s="269"/>
      <c r="J19" s="268" t="s">
        <v>84</v>
      </c>
      <c r="K19" s="269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12" t="s">
        <v>45</v>
      </c>
      <c r="G20" s="212" t="s">
        <v>46</v>
      </c>
      <c r="H20" s="273" t="s">
        <v>85</v>
      </c>
      <c r="I20" s="273" t="s">
        <v>50</v>
      </c>
      <c r="J20" s="273" t="s">
        <v>85</v>
      </c>
      <c r="K20" s="273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12"/>
      <c r="G21" s="212"/>
      <c r="H21" s="273"/>
      <c r="I21" s="273"/>
      <c r="J21" s="273"/>
      <c r="K21" s="273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12"/>
      <c r="G22" s="212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74" t="s">
        <v>86</v>
      </c>
      <c r="C27" s="275"/>
      <c r="D27" s="276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65" t="s">
        <v>27</v>
      </c>
      <c r="B28" s="277" t="s">
        <v>87</v>
      </c>
      <c r="C28" s="279"/>
      <c r="D28" s="278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65"/>
      <c r="B29" s="277"/>
      <c r="C29" s="279"/>
      <c r="D29" s="279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65"/>
      <c r="B30" s="277"/>
      <c r="C30" s="279"/>
      <c r="D30" s="279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65"/>
      <c r="B31" s="277"/>
      <c r="C31" s="279"/>
      <c r="D31" s="279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27:D27"/>
    <mergeCell ref="A28:A31"/>
    <mergeCell ref="B28:B31"/>
    <mergeCell ref="D28:D31"/>
    <mergeCell ref="C28:C31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3:D3"/>
    <mergeCell ref="A4:A6"/>
    <mergeCell ref="B4:D4"/>
    <mergeCell ref="F4:K4"/>
    <mergeCell ref="B5:C5"/>
    <mergeCell ref="D5:D6"/>
    <mergeCell ref="H5:I5"/>
    <mergeCell ref="J5:K5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topLeftCell="A60" zoomScaleNormal="100" workbookViewId="0">
      <selection activeCell="M70" sqref="M70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280" t="s">
        <v>159</v>
      </c>
      <c r="B2" s="283" t="s">
        <v>160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</row>
    <row r="3" spans="1:16" ht="19.5" customHeight="1" thickBot="1">
      <c r="A3" s="281"/>
      <c r="B3" s="283" t="s">
        <v>161</v>
      </c>
      <c r="C3" s="285"/>
      <c r="D3" s="283" t="s">
        <v>162</v>
      </c>
      <c r="E3" s="285"/>
      <c r="F3" s="283" t="s">
        <v>163</v>
      </c>
      <c r="G3" s="285"/>
      <c r="H3" s="283" t="s">
        <v>164</v>
      </c>
      <c r="I3" s="285"/>
      <c r="J3" s="283" t="s">
        <v>16</v>
      </c>
      <c r="K3" s="285"/>
      <c r="L3" s="283" t="s">
        <v>165</v>
      </c>
      <c r="M3" s="285"/>
    </row>
    <row r="4" spans="1:16" ht="64.5" thickBot="1">
      <c r="A4" s="282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280" t="s">
        <v>159</v>
      </c>
      <c r="B31" s="283" t="s">
        <v>169</v>
      </c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5"/>
    </row>
    <row r="32" spans="1:13" ht="13.5" thickBot="1">
      <c r="A32" s="281"/>
      <c r="B32" s="283" t="s">
        <v>161</v>
      </c>
      <c r="C32" s="285"/>
      <c r="D32" s="283" t="s">
        <v>162</v>
      </c>
      <c r="E32" s="285"/>
      <c r="F32" s="283" t="s">
        <v>163</v>
      </c>
      <c r="G32" s="285"/>
      <c r="H32" s="283" t="s">
        <v>164</v>
      </c>
      <c r="I32" s="285"/>
      <c r="J32" s="283" t="s">
        <v>16</v>
      </c>
      <c r="K32" s="285"/>
      <c r="L32" s="283" t="s">
        <v>165</v>
      </c>
      <c r="M32" s="285"/>
    </row>
    <row r="33" spans="1:13" ht="64.5" thickBot="1">
      <c r="A33" s="282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286" t="s">
        <v>170</v>
      </c>
      <c r="D65" s="287"/>
      <c r="F65" s="288" t="s">
        <v>171</v>
      </c>
      <c r="G65" s="289"/>
    </row>
    <row r="66" spans="3:13" ht="36" customHeight="1" thickBot="1">
      <c r="C66" s="290" t="s">
        <v>172</v>
      </c>
      <c r="D66" s="291"/>
      <c r="F66" s="292" t="s">
        <v>173</v>
      </c>
      <c r="G66" s="293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294" t="s">
        <v>179</v>
      </c>
      <c r="M67" s="295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C65:D65"/>
    <mergeCell ref="F65:G65"/>
    <mergeCell ref="C66:D66"/>
    <mergeCell ref="F66:G66"/>
    <mergeCell ref="L67:M67"/>
    <mergeCell ref="A31:A33"/>
    <mergeCell ref="B31:M31"/>
    <mergeCell ref="B32:C32"/>
    <mergeCell ref="D32:E32"/>
    <mergeCell ref="F32:G32"/>
    <mergeCell ref="H32:I32"/>
    <mergeCell ref="J32:K32"/>
    <mergeCell ref="L32:M32"/>
    <mergeCell ref="A2:A4"/>
    <mergeCell ref="B2:M2"/>
    <mergeCell ref="B3:C3"/>
    <mergeCell ref="D3:E3"/>
    <mergeCell ref="F3:G3"/>
    <mergeCell ref="H3:I3"/>
    <mergeCell ref="J3:K3"/>
    <mergeCell ref="L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J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D7" sqref="D7:D8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52" t="s">
        <v>0</v>
      </c>
      <c r="B1" s="353"/>
      <c r="C1" s="354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55" t="s">
        <v>191</v>
      </c>
      <c r="B2" s="356"/>
      <c r="C2" s="357"/>
      <c r="D2" s="358"/>
      <c r="E2" s="359"/>
      <c r="F2" s="359"/>
      <c r="G2" s="359"/>
      <c r="H2" s="359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60"/>
      <c r="AB2" s="360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52" t="s">
        <v>198</v>
      </c>
      <c r="B3" s="353"/>
      <c r="C3" s="354"/>
      <c r="D3" s="358"/>
      <c r="E3" s="359"/>
      <c r="F3" s="359"/>
      <c r="G3" s="359"/>
      <c r="H3" s="359"/>
      <c r="I3" s="359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61" t="s">
        <v>103</v>
      </c>
      <c r="AC3" s="362"/>
      <c r="AD3" s="362"/>
      <c r="AE3" s="362"/>
      <c r="AF3" s="362"/>
      <c r="AG3" s="362"/>
      <c r="AH3" s="362"/>
      <c r="AI3" s="362"/>
      <c r="AJ3" s="363"/>
      <c r="AK3" s="4"/>
      <c r="AL3" s="4"/>
      <c r="AM3" s="4"/>
      <c r="BP3"/>
      <c r="BQ3"/>
      <c r="BR3"/>
      <c r="BS3"/>
      <c r="BT3"/>
      <c r="BU3"/>
    </row>
    <row r="4" spans="1:73" ht="18" customHeight="1">
      <c r="A4" s="341" t="s">
        <v>137</v>
      </c>
      <c r="B4" s="341"/>
      <c r="C4" s="341"/>
      <c r="D4" s="341" t="s">
        <v>134</v>
      </c>
      <c r="E4" s="341"/>
      <c r="F4" s="341"/>
      <c r="G4" s="341"/>
      <c r="H4" s="341"/>
      <c r="I4" s="341"/>
      <c r="J4" s="341"/>
      <c r="K4" s="341"/>
      <c r="L4" s="341"/>
      <c r="M4" s="341"/>
      <c r="N4" s="341" t="s">
        <v>135</v>
      </c>
      <c r="O4" s="341"/>
      <c r="P4" s="341"/>
      <c r="Q4" s="342" t="s">
        <v>136</v>
      </c>
      <c r="R4" s="344"/>
      <c r="S4" s="341" t="s">
        <v>125</v>
      </c>
      <c r="T4" s="341" t="s">
        <v>101</v>
      </c>
      <c r="U4" s="341"/>
      <c r="V4" s="341"/>
      <c r="W4" s="341" t="s">
        <v>102</v>
      </c>
      <c r="X4" s="342" t="s">
        <v>138</v>
      </c>
      <c r="Y4" s="343"/>
      <c r="Z4" s="344"/>
      <c r="AA4" s="341" t="s">
        <v>99</v>
      </c>
      <c r="AB4" s="330" t="s">
        <v>93</v>
      </c>
      <c r="AC4" s="331"/>
      <c r="AD4" s="332"/>
      <c r="AE4" s="351" t="s">
        <v>100</v>
      </c>
      <c r="AF4" s="351"/>
      <c r="AG4" s="330" t="s">
        <v>94</v>
      </c>
      <c r="AH4" s="332"/>
      <c r="AI4" s="330" t="s">
        <v>95</v>
      </c>
      <c r="AJ4" s="332"/>
      <c r="AK4" s="330" t="s">
        <v>105</v>
      </c>
      <c r="AL4" s="329" t="s">
        <v>104</v>
      </c>
      <c r="AM4" s="329"/>
      <c r="AN4" s="329"/>
      <c r="AO4" s="330" t="s">
        <v>98</v>
      </c>
      <c r="AP4" s="331"/>
      <c r="AQ4" s="331"/>
      <c r="AR4" s="331"/>
      <c r="AS4" s="331"/>
      <c r="AT4" s="332"/>
      <c r="AU4" s="329" t="s">
        <v>152</v>
      </c>
      <c r="AV4" s="329"/>
      <c r="AW4" s="329"/>
      <c r="BP4"/>
      <c r="BQ4"/>
      <c r="BR4"/>
      <c r="BS4"/>
      <c r="BT4"/>
      <c r="BU4"/>
    </row>
    <row r="5" spans="1:73" ht="18" customHeight="1">
      <c r="A5" s="341"/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5"/>
      <c r="R5" s="347"/>
      <c r="S5" s="341"/>
      <c r="T5" s="341"/>
      <c r="U5" s="341"/>
      <c r="V5" s="341"/>
      <c r="W5" s="341"/>
      <c r="X5" s="345"/>
      <c r="Y5" s="346"/>
      <c r="Z5" s="347"/>
      <c r="AA5" s="341"/>
      <c r="AB5" s="333"/>
      <c r="AC5" s="334"/>
      <c r="AD5" s="335"/>
      <c r="AE5" s="351"/>
      <c r="AF5" s="351"/>
      <c r="AG5" s="333"/>
      <c r="AH5" s="335"/>
      <c r="AI5" s="333"/>
      <c r="AJ5" s="335"/>
      <c r="AK5" s="333"/>
      <c r="AL5" s="329"/>
      <c r="AM5" s="329"/>
      <c r="AN5" s="329"/>
      <c r="AO5" s="333"/>
      <c r="AP5" s="334"/>
      <c r="AQ5" s="334"/>
      <c r="AR5" s="334"/>
      <c r="AS5" s="334"/>
      <c r="AT5" s="335"/>
      <c r="AU5" s="329"/>
      <c r="AV5" s="329"/>
      <c r="AW5" s="329"/>
      <c r="BP5"/>
      <c r="BQ5"/>
      <c r="BR5"/>
      <c r="BS5"/>
      <c r="BT5"/>
      <c r="BU5"/>
    </row>
    <row r="6" spans="1:73" ht="18" customHeight="1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8"/>
      <c r="R6" s="350"/>
      <c r="S6" s="341"/>
      <c r="T6" s="341"/>
      <c r="U6" s="341"/>
      <c r="V6" s="341"/>
      <c r="W6" s="341"/>
      <c r="X6" s="348"/>
      <c r="Y6" s="349"/>
      <c r="Z6" s="350"/>
      <c r="AA6" s="341"/>
      <c r="AB6" s="336"/>
      <c r="AC6" s="337"/>
      <c r="AD6" s="338"/>
      <c r="AE6" s="351"/>
      <c r="AF6" s="351"/>
      <c r="AG6" s="336"/>
      <c r="AH6" s="338"/>
      <c r="AI6" s="336"/>
      <c r="AJ6" s="338"/>
      <c r="AK6" s="336"/>
      <c r="AL6" s="329"/>
      <c r="AM6" s="329"/>
      <c r="AN6" s="329"/>
      <c r="AO6" s="336"/>
      <c r="AP6" s="337"/>
      <c r="AQ6" s="337"/>
      <c r="AR6" s="337"/>
      <c r="AS6" s="337"/>
      <c r="AT6" s="338"/>
      <c r="AU6" s="329"/>
      <c r="AV6" s="329"/>
      <c r="AW6" s="329"/>
      <c r="BP6"/>
      <c r="BQ6"/>
      <c r="BR6"/>
      <c r="BS6"/>
      <c r="BT6"/>
      <c r="BU6"/>
    </row>
    <row r="7" spans="1:73" ht="15.75" customHeight="1">
      <c r="A7" s="326" t="s">
        <v>23</v>
      </c>
      <c r="B7" s="326" t="s">
        <v>1</v>
      </c>
      <c r="C7" s="326" t="s">
        <v>133</v>
      </c>
      <c r="D7" s="313" t="s">
        <v>10</v>
      </c>
      <c r="E7" s="339" t="s">
        <v>33</v>
      </c>
      <c r="F7" s="313" t="s">
        <v>34</v>
      </c>
      <c r="G7" s="313" t="s">
        <v>24</v>
      </c>
      <c r="H7" s="322" t="s">
        <v>25</v>
      </c>
      <c r="I7" s="323" t="s">
        <v>39</v>
      </c>
      <c r="J7" s="323" t="s">
        <v>38</v>
      </c>
      <c r="K7" s="323" t="s">
        <v>41</v>
      </c>
      <c r="L7" s="323" t="s">
        <v>37</v>
      </c>
      <c r="M7" s="323" t="s">
        <v>40</v>
      </c>
      <c r="N7" s="319" t="s">
        <v>72</v>
      </c>
      <c r="O7" s="319" t="s">
        <v>75</v>
      </c>
      <c r="P7" s="319" t="s">
        <v>73</v>
      </c>
      <c r="Q7" s="320" t="s">
        <v>71</v>
      </c>
      <c r="R7" s="327" t="s">
        <v>2</v>
      </c>
      <c r="S7" s="327" t="s">
        <v>3</v>
      </c>
      <c r="T7" s="327" t="s">
        <v>92</v>
      </c>
      <c r="U7" s="327" t="s">
        <v>4</v>
      </c>
      <c r="V7" s="327" t="s">
        <v>35</v>
      </c>
      <c r="W7" s="324" t="s">
        <v>5</v>
      </c>
      <c r="X7" s="324" t="s">
        <v>6</v>
      </c>
      <c r="Y7" s="326" t="s">
        <v>7</v>
      </c>
      <c r="Z7" s="326" t="s">
        <v>42</v>
      </c>
      <c r="AA7" s="326" t="s">
        <v>139</v>
      </c>
      <c r="AB7" s="317" t="s">
        <v>153</v>
      </c>
      <c r="AC7" s="317" t="s">
        <v>68</v>
      </c>
      <c r="AD7" s="317" t="s">
        <v>69</v>
      </c>
      <c r="AE7" s="314" t="s">
        <v>8</v>
      </c>
      <c r="AF7" s="314" t="s">
        <v>9</v>
      </c>
      <c r="AG7" s="316" t="s">
        <v>96</v>
      </c>
      <c r="AH7" s="316" t="s">
        <v>68</v>
      </c>
      <c r="AI7" s="316" t="s">
        <v>96</v>
      </c>
      <c r="AJ7" s="316" t="s">
        <v>68</v>
      </c>
      <c r="AK7" s="317" t="s">
        <v>97</v>
      </c>
      <c r="AL7" s="317" t="s">
        <v>140</v>
      </c>
      <c r="AM7" s="317" t="s">
        <v>141</v>
      </c>
      <c r="AN7" s="317" t="s">
        <v>36</v>
      </c>
      <c r="AO7" s="313" t="s">
        <v>1</v>
      </c>
      <c r="AP7" s="312" t="s">
        <v>142</v>
      </c>
      <c r="AQ7" s="314" t="s">
        <v>143</v>
      </c>
      <c r="AR7" s="312" t="s">
        <v>12</v>
      </c>
      <c r="AS7" s="312" t="s">
        <v>13</v>
      </c>
      <c r="AT7" s="312" t="s">
        <v>76</v>
      </c>
      <c r="AU7" s="303" t="s">
        <v>14</v>
      </c>
      <c r="AV7" s="303" t="s">
        <v>15</v>
      </c>
      <c r="AW7" s="303" t="s">
        <v>16</v>
      </c>
    </row>
    <row r="8" spans="1:73" ht="53.25" customHeight="1">
      <c r="A8" s="326"/>
      <c r="B8" s="326"/>
      <c r="C8" s="326"/>
      <c r="D8" s="313"/>
      <c r="E8" s="340"/>
      <c r="F8" s="313"/>
      <c r="G8" s="313"/>
      <c r="H8" s="322"/>
      <c r="I8" s="323"/>
      <c r="J8" s="323"/>
      <c r="K8" s="323"/>
      <c r="L8" s="323"/>
      <c r="M8" s="323"/>
      <c r="N8" s="319"/>
      <c r="O8" s="319"/>
      <c r="P8" s="319"/>
      <c r="Q8" s="321"/>
      <c r="R8" s="328"/>
      <c r="S8" s="328"/>
      <c r="T8" s="328"/>
      <c r="U8" s="328"/>
      <c r="V8" s="328"/>
      <c r="W8" s="325"/>
      <c r="X8" s="325"/>
      <c r="Y8" s="326"/>
      <c r="Z8" s="326"/>
      <c r="AA8" s="326"/>
      <c r="AB8" s="318"/>
      <c r="AC8" s="318"/>
      <c r="AD8" s="318"/>
      <c r="AE8" s="315"/>
      <c r="AF8" s="315"/>
      <c r="AG8" s="313"/>
      <c r="AH8" s="313"/>
      <c r="AI8" s="313"/>
      <c r="AJ8" s="313"/>
      <c r="AK8" s="318"/>
      <c r="AL8" s="318"/>
      <c r="AM8" s="318"/>
      <c r="AN8" s="318"/>
      <c r="AO8" s="313"/>
      <c r="AP8" s="313"/>
      <c r="AQ8" s="315"/>
      <c r="AR8" s="312"/>
      <c r="AS8" s="312"/>
      <c r="AT8" s="312"/>
      <c r="AU8" s="303"/>
      <c r="AV8" s="303"/>
      <c r="AW8" s="303"/>
    </row>
    <row r="9" spans="1:73" s="33" customFormat="1" ht="23.25" customHeight="1">
      <c r="A9" s="36">
        <v>1</v>
      </c>
      <c r="B9" s="35" t="s">
        <v>78</v>
      </c>
      <c r="C9" s="37" t="s">
        <v>192</v>
      </c>
      <c r="D9" s="38">
        <v>24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991.30434782608688</v>
      </c>
      <c r="J9" s="41">
        <f t="shared" ref="J9:J60" si="1">I9*SIN(ACOS(G9))</f>
        <v>388.51037311621855</v>
      </c>
      <c r="K9" s="38">
        <v>1</v>
      </c>
      <c r="L9" s="41">
        <f>IF(K9=K7,0,SUMIF(K9:K58,K9,I9:I58))</f>
        <v>991.30434782608688</v>
      </c>
      <c r="M9" s="41">
        <f>IF(K9=K7,0,SUMIF(K9:K58,K9,J9:J58))</f>
        <v>388.51037311621855</v>
      </c>
      <c r="N9" s="40">
        <v>1</v>
      </c>
      <c r="O9" s="41">
        <f>L9*N9</f>
        <v>991.30434782608688</v>
      </c>
      <c r="P9" s="41">
        <f>M9*N9</f>
        <v>388.51037311621855</v>
      </c>
      <c r="Q9" s="78">
        <v>1</v>
      </c>
      <c r="R9" s="80">
        <v>220</v>
      </c>
      <c r="S9" s="79">
        <f>IF(V9=0,"-",IF(Q9=0,0,IF(Q9&lt;3,O9/R9,O9/(R9*SQRT(3)))))</f>
        <v>4.5059288537549405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5.9039948293434756</v>
      </c>
      <c r="X9" s="45">
        <v>30</v>
      </c>
      <c r="Y9" s="45">
        <v>3</v>
      </c>
      <c r="Z9" s="46">
        <f>IF(Y9=0,"-",IF(Q9&lt;3,(200*(1/56)*X9*W9)/(Y9*R9),(100*SQRT(3)*(1/56)*X9*W9)/(Y9*R9)))</f>
        <v>0.95844071904926542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1.1501288628591184</v>
      </c>
      <c r="AF9" s="48">
        <f t="shared" ref="AF9:AF16" si="2">IF(AB9=0,"-",IF(AC9=0,0,AE9+$AE$61))</f>
        <v>3.4360099777916164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0">
        <f>O9</f>
        <v>991.30434782608688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193</v>
      </c>
      <c r="D10" s="38">
        <v>24</v>
      </c>
      <c r="E10" s="39">
        <v>38</v>
      </c>
      <c r="F10" s="63"/>
      <c r="G10" s="40">
        <v>0.92</v>
      </c>
      <c r="H10" s="40"/>
      <c r="I10" s="41">
        <f t="shared" si="0"/>
        <v>991.30434782608688</v>
      </c>
      <c r="J10" s="41">
        <f t="shared" si="1"/>
        <v>388.51037311621855</v>
      </c>
      <c r="K10" s="38">
        <v>2</v>
      </c>
      <c r="L10" s="41">
        <f>IF(K10=K9,0,SUMIF(K10:$K$60,K10,I10:$I$60))</f>
        <v>991.30434782608688</v>
      </c>
      <c r="M10" s="41">
        <f>IF(K10=K9,0,SUMIF(K10:$K$60,K10,J10:$J$60))</f>
        <v>388.51037311621855</v>
      </c>
      <c r="N10" s="40">
        <v>1</v>
      </c>
      <c r="O10" s="41">
        <f t="shared" ref="O10:O60" si="3">L10*N10</f>
        <v>991.30434782608688</v>
      </c>
      <c r="P10" s="41">
        <f t="shared" ref="P10:P60" si="4">M10*N10</f>
        <v>388.51037311621855</v>
      </c>
      <c r="Q10" s="78">
        <v>1</v>
      </c>
      <c r="R10" s="80">
        <v>220</v>
      </c>
      <c r="S10" s="79">
        <f t="shared" ref="S10:S60" si="5">IF(V10=0,"-",IF(Q10=0,0,IF(Q10&lt;3,O10/R10,O10/(R10*SQRT(3)))))</f>
        <v>4.5059288537549405</v>
      </c>
      <c r="T10" s="43">
        <v>1.06</v>
      </c>
      <c r="U10" s="43">
        <v>0.72</v>
      </c>
      <c r="V10" s="42">
        <v>10</v>
      </c>
      <c r="W10" s="110">
        <f t="shared" ref="W10:W60" si="6">IF(V10=0,"-",IF(V10&lt;15,S10/(T10*U10),(S10/(T10*U10)/0.86)))</f>
        <v>5.9039948293434756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0.63896047936617695</v>
      </c>
      <c r="AA10" s="47">
        <v>1</v>
      </c>
      <c r="AB10" s="47">
        <v>1</v>
      </c>
      <c r="AC10" s="102">
        <v>1.5</v>
      </c>
      <c r="AD10" s="46">
        <f t="shared" ref="AD10:AD61" si="8">IF(AB10=0,"-",AB10*AC10)</f>
        <v>1.5</v>
      </c>
      <c r="AE10" s="46">
        <f t="shared" ref="AE10:AE61" si="9">IF(AB10=0,"-",IF(AC10=0,0,IF(Q10&lt;3,(200*(1/56)*W10*X10)/(AD10*R10),(100*SQRT(3)*(1/56)*W10*X10)/(AD10*R10))))</f>
        <v>1.2779209587323539</v>
      </c>
      <c r="AF10" s="48">
        <f t="shared" si="2"/>
        <v>3.5638020736648519</v>
      </c>
      <c r="AG10" s="47">
        <v>1</v>
      </c>
      <c r="AH10" s="102">
        <v>1.5</v>
      </c>
      <c r="AI10" s="47">
        <v>1</v>
      </c>
      <c r="AJ10" s="102">
        <v>1.5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21</v>
      </c>
      <c r="AO10" s="35"/>
      <c r="AP10" s="35"/>
      <c r="AQ10" s="35"/>
      <c r="AR10" s="49">
        <f t="shared" ref="AR10:AR60" si="11">IF(Q10=0,"-",Q10)</f>
        <v>1</v>
      </c>
      <c r="AS10" s="47">
        <v>16</v>
      </c>
      <c r="AT10" s="49" t="str">
        <f t="shared" ref="AT10:AT61" si="12">IF(AS10=0,"-",IF(AS10&gt;W10,"SIM","NÃO"))</f>
        <v>SIM</v>
      </c>
      <c r="AU10" s="50"/>
      <c r="AV10" s="50">
        <f>O10</f>
        <v>991.30434782608688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194</v>
      </c>
      <c r="D11" s="38">
        <v>24</v>
      </c>
      <c r="E11" s="39">
        <v>38</v>
      </c>
      <c r="F11" s="63"/>
      <c r="G11" s="40">
        <v>0.92</v>
      </c>
      <c r="H11" s="40"/>
      <c r="I11" s="41">
        <f t="shared" si="0"/>
        <v>991.30434782608688</v>
      </c>
      <c r="J11" s="41">
        <f t="shared" si="1"/>
        <v>388.51037311621855</v>
      </c>
      <c r="K11" s="38">
        <v>3</v>
      </c>
      <c r="L11" s="41">
        <f>IF(K11=K10,0,SUMIF(K11:$K$60,K11,I11:$I$60))</f>
        <v>991.30434782608688</v>
      </c>
      <c r="M11" s="41">
        <f>IF(K11=K10,0,SUMIF(K11:$K$60,K11,J11:$J$60))</f>
        <v>388.51037311621855</v>
      </c>
      <c r="N11" s="40">
        <v>1</v>
      </c>
      <c r="O11" s="41">
        <f t="shared" si="3"/>
        <v>991.30434782608688</v>
      </c>
      <c r="P11" s="41">
        <f t="shared" si="4"/>
        <v>388.51037311621855</v>
      </c>
      <c r="Q11" s="78">
        <v>1</v>
      </c>
      <c r="R11" s="80">
        <v>220</v>
      </c>
      <c r="S11" s="79">
        <f t="shared" si="5"/>
        <v>4.5059288537549405</v>
      </c>
      <c r="T11" s="43">
        <v>1.06</v>
      </c>
      <c r="U11" s="43">
        <v>0.72</v>
      </c>
      <c r="V11" s="42">
        <v>10</v>
      </c>
      <c r="W11" s="110">
        <f t="shared" si="6"/>
        <v>5.9039948293434756</v>
      </c>
      <c r="X11" s="45">
        <v>22</v>
      </c>
      <c r="Y11" s="45">
        <v>3</v>
      </c>
      <c r="Z11" s="46">
        <f t="shared" si="7"/>
        <v>0.70285652730279469</v>
      </c>
      <c r="AA11" s="47">
        <v>1</v>
      </c>
      <c r="AB11" s="47">
        <v>1</v>
      </c>
      <c r="AC11" s="102">
        <v>1.5</v>
      </c>
      <c r="AD11" s="46">
        <f t="shared" si="8"/>
        <v>1.5</v>
      </c>
      <c r="AE11" s="46">
        <f t="shared" si="9"/>
        <v>1.4057130546055892</v>
      </c>
      <c r="AF11" s="48">
        <f t="shared" si="2"/>
        <v>3.6915941695380869</v>
      </c>
      <c r="AG11" s="47">
        <v>1</v>
      </c>
      <c r="AH11" s="102">
        <v>1.5</v>
      </c>
      <c r="AI11" s="47">
        <v>1</v>
      </c>
      <c r="AJ11" s="102">
        <v>1.5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7</v>
      </c>
      <c r="AM11" s="44" t="str">
        <f>IF(AA11=2,IF(AC11&gt;=25,LOOKUP(AC11,'Tabela eletroduto'!$A$32:$A$43,'Tabela eletroduto'!$D$32:$D$43)),"-")</f>
        <v>-</v>
      </c>
      <c r="AN11" s="44">
        <f t="shared" si="10"/>
        <v>21</v>
      </c>
      <c r="AO11" s="35"/>
      <c r="AP11" s="35"/>
      <c r="AQ11" s="35"/>
      <c r="AR11" s="49">
        <f t="shared" si="11"/>
        <v>1</v>
      </c>
      <c r="AS11" s="47">
        <v>16</v>
      </c>
      <c r="AT11" s="49" t="str">
        <f t="shared" si="12"/>
        <v>SIM</v>
      </c>
      <c r="AU11" s="50"/>
      <c r="AV11" s="50"/>
      <c r="AW11" s="50">
        <f>O11</f>
        <v>991.30434782608688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78</v>
      </c>
      <c r="C12" s="37" t="s">
        <v>195</v>
      </c>
      <c r="D12" s="38">
        <v>24</v>
      </c>
      <c r="E12" s="39">
        <v>38</v>
      </c>
      <c r="F12" s="63"/>
      <c r="G12" s="40">
        <v>0.92</v>
      </c>
      <c r="H12" s="40"/>
      <c r="I12" s="41">
        <f t="shared" si="0"/>
        <v>991.30434782608688</v>
      </c>
      <c r="J12" s="41">
        <f t="shared" si="1"/>
        <v>388.51037311621855</v>
      </c>
      <c r="K12" s="38">
        <v>4</v>
      </c>
      <c r="L12" s="41">
        <f>IF(K12=K11,0,SUMIF(K12:$K$60,K12,I12:$I$60))</f>
        <v>991.30434782608688</v>
      </c>
      <c r="M12" s="41">
        <f>IF(K12=K11,0,SUMIF(K12:$K$60,K12,J12:$J$60))</f>
        <v>388.51037311621855</v>
      </c>
      <c r="N12" s="40">
        <v>1</v>
      </c>
      <c r="O12" s="41">
        <f t="shared" si="3"/>
        <v>991.30434782608688</v>
      </c>
      <c r="P12" s="41">
        <f t="shared" si="4"/>
        <v>388.51037311621855</v>
      </c>
      <c r="Q12" s="78">
        <v>1</v>
      </c>
      <c r="R12" s="80">
        <v>220</v>
      </c>
      <c r="S12" s="79">
        <f t="shared" si="5"/>
        <v>4.5059288537549405</v>
      </c>
      <c r="T12" s="43">
        <v>1.06</v>
      </c>
      <c r="U12" s="43">
        <v>0.72</v>
      </c>
      <c r="V12" s="42">
        <v>10</v>
      </c>
      <c r="W12" s="110">
        <f t="shared" si="6"/>
        <v>5.9039948293434756</v>
      </c>
      <c r="X12" s="45">
        <v>10</v>
      </c>
      <c r="Y12" s="45">
        <v>3</v>
      </c>
      <c r="Z12" s="46">
        <f t="shared" si="7"/>
        <v>0.31948023968308847</v>
      </c>
      <c r="AA12" s="47">
        <v>1</v>
      </c>
      <c r="AB12" s="47">
        <v>1</v>
      </c>
      <c r="AC12" s="102">
        <v>1.5</v>
      </c>
      <c r="AD12" s="46">
        <f t="shared" si="8"/>
        <v>1.5</v>
      </c>
      <c r="AE12" s="46">
        <f t="shared" si="9"/>
        <v>0.63896047936617695</v>
      </c>
      <c r="AF12" s="48">
        <f t="shared" si="2"/>
        <v>2.924841594298675</v>
      </c>
      <c r="AG12" s="47">
        <v>1</v>
      </c>
      <c r="AH12" s="102">
        <v>1.5</v>
      </c>
      <c r="AI12" s="47">
        <v>1</v>
      </c>
      <c r="AJ12" s="102">
        <v>1.5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7</v>
      </c>
      <c r="AM12" s="44" t="str">
        <f>IF(AA12=2,IF(AC12&gt;=25,LOOKUP(AC12,'Tabela eletroduto'!$A$32:$A$43,'Tabela eletroduto'!$D$32:$D$43)),"-")</f>
        <v>-</v>
      </c>
      <c r="AN12" s="44">
        <f t="shared" si="10"/>
        <v>21</v>
      </c>
      <c r="AO12" s="35"/>
      <c r="AP12" s="35"/>
      <c r="AQ12" s="35"/>
      <c r="AR12" s="49">
        <f t="shared" si="11"/>
        <v>1</v>
      </c>
      <c r="AS12" s="47">
        <v>16</v>
      </c>
      <c r="AT12" s="49" t="str">
        <f t="shared" si="12"/>
        <v>SIM</v>
      </c>
      <c r="AU12" s="50"/>
      <c r="AV12" s="50">
        <f>O12</f>
        <v>991.30434782608688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78</v>
      </c>
      <c r="C13" s="37" t="s">
        <v>196</v>
      </c>
      <c r="D13" s="38">
        <v>24</v>
      </c>
      <c r="E13" s="39">
        <v>38</v>
      </c>
      <c r="F13" s="63"/>
      <c r="G13" s="40">
        <v>0.92</v>
      </c>
      <c r="H13" s="40"/>
      <c r="I13" s="41">
        <f t="shared" si="0"/>
        <v>991.30434782608688</v>
      </c>
      <c r="J13" s="41">
        <f t="shared" si="1"/>
        <v>388.51037311621855</v>
      </c>
      <c r="K13" s="38">
        <v>5</v>
      </c>
      <c r="L13" s="41">
        <f>IF(K13=K12,0,SUMIF(K13:$K$60,K13,I13:$I$60))</f>
        <v>991.30434782608688</v>
      </c>
      <c r="M13" s="41">
        <f>IF(K13=K12,0,SUMIF(K13:$K$60,K13,J13:$J$60))</f>
        <v>388.51037311621855</v>
      </c>
      <c r="N13" s="40">
        <v>1</v>
      </c>
      <c r="O13" s="41">
        <f t="shared" si="3"/>
        <v>991.30434782608688</v>
      </c>
      <c r="P13" s="41">
        <f t="shared" si="4"/>
        <v>388.51037311621855</v>
      </c>
      <c r="Q13" s="78">
        <v>1</v>
      </c>
      <c r="R13" s="80">
        <v>220</v>
      </c>
      <c r="S13" s="79">
        <f t="shared" si="5"/>
        <v>4.5059288537549405</v>
      </c>
      <c r="T13" s="43">
        <v>1.06</v>
      </c>
      <c r="U13" s="43">
        <v>0.72</v>
      </c>
      <c r="V13" s="42">
        <v>10</v>
      </c>
      <c r="W13" s="110">
        <f t="shared" si="6"/>
        <v>5.9039948293434756</v>
      </c>
      <c r="X13" s="45">
        <v>25</v>
      </c>
      <c r="Y13" s="45">
        <v>3</v>
      </c>
      <c r="Z13" s="46">
        <f t="shared" si="7"/>
        <v>0.79870059920772118</v>
      </c>
      <c r="AA13" s="47">
        <v>1</v>
      </c>
      <c r="AB13" s="47">
        <v>1</v>
      </c>
      <c r="AC13" s="102">
        <v>1.5</v>
      </c>
      <c r="AD13" s="46">
        <f t="shared" si="8"/>
        <v>1.5</v>
      </c>
      <c r="AE13" s="46">
        <f t="shared" si="9"/>
        <v>1.5974011984154424</v>
      </c>
      <c r="AF13" s="48">
        <f t="shared" si="2"/>
        <v>3.8832823133479404</v>
      </c>
      <c r="AG13" s="47">
        <v>1</v>
      </c>
      <c r="AH13" s="102">
        <v>1.5</v>
      </c>
      <c r="AI13" s="47">
        <v>1</v>
      </c>
      <c r="AJ13" s="102">
        <v>1.5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7</v>
      </c>
      <c r="AM13" s="44" t="str">
        <f>IF(AA13=2,IF(AC13&gt;=25,LOOKUP(AC13,'Tabela eletroduto'!$A$32:$A$43,'Tabela eletroduto'!$D$32:$D$43)),"-")</f>
        <v>-</v>
      </c>
      <c r="AN13" s="44">
        <f t="shared" si="10"/>
        <v>21</v>
      </c>
      <c r="AO13" s="35"/>
      <c r="AP13" s="35"/>
      <c r="AQ13" s="35"/>
      <c r="AR13" s="49">
        <f t="shared" si="11"/>
        <v>1</v>
      </c>
      <c r="AS13" s="47">
        <v>16</v>
      </c>
      <c r="AT13" s="49" t="str">
        <f t="shared" si="12"/>
        <v>SIM</v>
      </c>
      <c r="AU13" s="50">
        <f>O13</f>
        <v>991.30434782608688</v>
      </c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78</v>
      </c>
      <c r="C14" s="37" t="s">
        <v>197</v>
      </c>
      <c r="D14" s="38">
        <v>24</v>
      </c>
      <c r="E14" s="39">
        <v>38</v>
      </c>
      <c r="F14" s="63"/>
      <c r="G14" s="40">
        <v>0.92</v>
      </c>
      <c r="H14" s="40"/>
      <c r="I14" s="41">
        <f t="shared" si="0"/>
        <v>991.30434782608688</v>
      </c>
      <c r="J14" s="41">
        <f t="shared" si="1"/>
        <v>388.51037311621855</v>
      </c>
      <c r="K14" s="38">
        <v>6</v>
      </c>
      <c r="L14" s="41">
        <f>IF(K14=K13,0,SUMIF(K14:$K$60,K14,I14:$I$60))</f>
        <v>991.30434782608688</v>
      </c>
      <c r="M14" s="41">
        <f>IF(K14=K13,0,SUMIF(K14:$K$60,K14,J14:$J$60))</f>
        <v>388.51037311621855</v>
      </c>
      <c r="N14" s="40">
        <v>1</v>
      </c>
      <c r="O14" s="41">
        <f t="shared" si="3"/>
        <v>991.30434782608688</v>
      </c>
      <c r="P14" s="41">
        <f t="shared" si="4"/>
        <v>388.51037311621855</v>
      </c>
      <c r="Q14" s="78">
        <v>1</v>
      </c>
      <c r="R14" s="80">
        <v>220</v>
      </c>
      <c r="S14" s="79">
        <f t="shared" si="5"/>
        <v>4.5059288537549405</v>
      </c>
      <c r="T14" s="43">
        <v>1.06</v>
      </c>
      <c r="U14" s="43">
        <v>0.72</v>
      </c>
      <c r="V14" s="42">
        <v>10</v>
      </c>
      <c r="W14" s="110">
        <f t="shared" si="6"/>
        <v>5.9039948293434756</v>
      </c>
      <c r="X14" s="45">
        <v>25</v>
      </c>
      <c r="Y14" s="45">
        <v>3</v>
      </c>
      <c r="Z14" s="46">
        <f t="shared" si="7"/>
        <v>0.79870059920772118</v>
      </c>
      <c r="AA14" s="47">
        <v>1</v>
      </c>
      <c r="AB14" s="47">
        <v>1</v>
      </c>
      <c r="AC14" s="102">
        <v>1.5</v>
      </c>
      <c r="AD14" s="46">
        <f t="shared" si="8"/>
        <v>1.5</v>
      </c>
      <c r="AE14" s="46">
        <f t="shared" si="9"/>
        <v>1.5974011984154424</v>
      </c>
      <c r="AF14" s="48">
        <f t="shared" si="2"/>
        <v>3.8832823133479404</v>
      </c>
      <c r="AG14" s="47">
        <v>1</v>
      </c>
      <c r="AH14" s="102">
        <v>1.5</v>
      </c>
      <c r="AI14" s="47">
        <v>1</v>
      </c>
      <c r="AJ14" s="102">
        <v>1.5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7</v>
      </c>
      <c r="AM14" s="44" t="str">
        <f>IF(AA14=2,IF(AC14&gt;=25,LOOKUP(AC14,'Tabela eletroduto'!$A$32:$A$43,'Tabela eletroduto'!$D$32:$D$43)),"-")</f>
        <v>-</v>
      </c>
      <c r="AN14" s="44">
        <f t="shared" si="10"/>
        <v>21</v>
      </c>
      <c r="AO14" s="35"/>
      <c r="AP14" s="35"/>
      <c r="AQ14" s="35"/>
      <c r="AR14" s="49">
        <v>1</v>
      </c>
      <c r="AS14" s="47">
        <v>16</v>
      </c>
      <c r="AT14" s="49" t="str">
        <f t="shared" si="12"/>
        <v>SIM</v>
      </c>
      <c r="AU14" s="50"/>
      <c r="AV14" s="50"/>
      <c r="AW14" s="50">
        <f>O14</f>
        <v>991.30434782608688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/>
      <c r="C15" s="37"/>
      <c r="D15" s="38"/>
      <c r="E15" s="39"/>
      <c r="F15" s="63"/>
      <c r="G15" s="40"/>
      <c r="H15" s="40"/>
      <c r="I15" s="41">
        <f t="shared" si="0"/>
        <v>0</v>
      </c>
      <c r="J15" s="41">
        <f t="shared" si="1"/>
        <v>0</v>
      </c>
      <c r="K15" s="38"/>
      <c r="L15" s="41">
        <f>IF(K15=K14,0,SUMIF(K15:$K$60,K15,I15:$I$60))</f>
        <v>0</v>
      </c>
      <c r="M15" s="41">
        <f>IF(K15=K14,0,SUMIF(K15:$K$60,K15,J15:$J$60))</f>
        <v>0</v>
      </c>
      <c r="N15" s="40"/>
      <c r="O15" s="41">
        <f t="shared" si="3"/>
        <v>0</v>
      </c>
      <c r="P15" s="41">
        <f t="shared" si="4"/>
        <v>0</v>
      </c>
      <c r="Q15" s="78"/>
      <c r="R15" s="80"/>
      <c r="S15" s="79" t="str">
        <f t="shared" si="5"/>
        <v>-</v>
      </c>
      <c r="T15" s="43"/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 t="str">
        <f t="shared" si="11"/>
        <v>-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/>
      <c r="C16" s="37"/>
      <c r="D16" s="38"/>
      <c r="E16" s="39"/>
      <c r="F16" s="63"/>
      <c r="G16" s="40"/>
      <c r="H16" s="40"/>
      <c r="I16" s="41">
        <f t="shared" si="0"/>
        <v>0</v>
      </c>
      <c r="J16" s="41">
        <f t="shared" si="1"/>
        <v>0</v>
      </c>
      <c r="K16" s="38"/>
      <c r="L16" s="41">
        <f>IF(K16=K15,0,SUMIF(K16:$K$60,K16,I16:$I$60))</f>
        <v>0</v>
      </c>
      <c r="M16" s="41">
        <f>IF(K16=K15,0,SUMIF(K16:$K$60,K16,J16:$J$60))</f>
        <v>0</v>
      </c>
      <c r="N16" s="40"/>
      <c r="O16" s="41">
        <f t="shared" si="3"/>
        <v>0</v>
      </c>
      <c r="P16" s="41">
        <f t="shared" si="4"/>
        <v>0</v>
      </c>
      <c r="Q16" s="78"/>
      <c r="R16" s="80"/>
      <c r="S16" s="79" t="str">
        <f t="shared" si="5"/>
        <v>-</v>
      </c>
      <c r="T16" s="43"/>
      <c r="U16" s="43"/>
      <c r="V16" s="42"/>
      <c r="W16" s="110" t="str">
        <f t="shared" si="6"/>
        <v>-</v>
      </c>
      <c r="X16" s="45">
        <v>15</v>
      </c>
      <c r="Y16" s="45">
        <v>3</v>
      </c>
      <c r="Z16" s="46" t="e">
        <f t="shared" si="7"/>
        <v>#VALUE!</v>
      </c>
      <c r="AA16" s="47">
        <v>1</v>
      </c>
      <c r="AB16" s="47">
        <v>1</v>
      </c>
      <c r="AC16" s="102">
        <v>1.5</v>
      </c>
      <c r="AD16" s="46">
        <f t="shared" si="8"/>
        <v>1.5</v>
      </c>
      <c r="AE16" s="46" t="e">
        <f t="shared" si="9"/>
        <v>#VALUE!</v>
      </c>
      <c r="AF16" s="48" t="e">
        <f t="shared" si="2"/>
        <v>#VALUE!</v>
      </c>
      <c r="AG16" s="47">
        <v>1</v>
      </c>
      <c r="AH16" s="102">
        <v>1.5</v>
      </c>
      <c r="AI16" s="47">
        <v>1</v>
      </c>
      <c r="AJ16" s="102">
        <v>1.5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7</v>
      </c>
      <c r="AM16" s="44" t="str">
        <f>IF(AA16=2,IF(AC16&gt;=25,LOOKUP(AC16,'Tabela eletroduto'!$A$32:$A$43,'Tabela eletroduto'!$D$32:$D$43)),"-")</f>
        <v>-</v>
      </c>
      <c r="AN16" s="44">
        <f t="shared" si="10"/>
        <v>14</v>
      </c>
      <c r="AO16" s="35" t="s">
        <v>148</v>
      </c>
      <c r="AP16" s="35"/>
      <c r="AQ16" s="35"/>
      <c r="AR16" s="49" t="str">
        <f t="shared" si="11"/>
        <v>-</v>
      </c>
      <c r="AS16" s="47">
        <v>16</v>
      </c>
      <c r="AT16" s="49" t="str">
        <f t="shared" si="12"/>
        <v>NÃO</v>
      </c>
      <c r="AU16" s="50"/>
      <c r="AV16" s="50">
        <f>O16</f>
        <v>0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>
        <f t="shared" si="0"/>
        <v>0</v>
      </c>
      <c r="J17" s="41">
        <f t="shared" ref="J17" si="13">I17*SIN(ACOS(G17))</f>
        <v>0</v>
      </c>
      <c r="K17" s="38"/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ref="O17" si="14">L17*N17</f>
        <v>0</v>
      </c>
      <c r="P17" s="41">
        <f t="shared" ref="P17" si="15">M17*N17</f>
        <v>0</v>
      </c>
      <c r="Q17" s="78"/>
      <c r="R17" s="80"/>
      <c r="S17" s="79" t="str">
        <f t="shared" ref="S17" si="16">IF(V17=0,"-",IF(Q17=0,0,IF(Q17&lt;3,O17/R17,O17/(R17*SQRT(3)))))</f>
        <v>-</v>
      </c>
      <c r="T17" s="43"/>
      <c r="U17" s="43"/>
      <c r="V17" s="42"/>
      <c r="W17" s="110" t="str">
        <f t="shared" ref="W17" si="17">IF(V17=0,"-",IF(V17&lt;15,S17/(T17*U17),(S17/(T17*U17)/0.86)))</f>
        <v>-</v>
      </c>
      <c r="X17" s="45"/>
      <c r="Y17" s="45"/>
      <c r="Z17" s="46" t="str">
        <f t="shared" ref="Z17" si="18">IF(Y17=0,"-",IF(Q17&lt;3,(200*(1/56)*X17*W17)/(Y17*R17),(100*SQRT(3)*(1/56)*X17*W17)/(Y17*R17)))</f>
        <v>-</v>
      </c>
      <c r="AA17" s="47"/>
      <c r="AB17" s="47"/>
      <c r="AC17" s="102"/>
      <c r="AD17" s="46" t="str">
        <f t="shared" ref="AD17" si="19">IF(AB17=0,"-",AB17*AC17)</f>
        <v>-</v>
      </c>
      <c r="AE17" s="46" t="str">
        <f t="shared" ref="AE17" si="20">IF(AB17=0,"-",IF(AC17=0,0,IF(Q17&lt;3,(200*(1/56)*W17*X17)/(AD17*R17),(100*SQRT(3)*(1/56)*W17*X17)/(AD17*R17))))</f>
        <v>-</v>
      </c>
      <c r="AF17" s="48" t="str">
        <f t="shared" ref="AF17" si="21"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ref="AN17" si="22">IF(AK17=0,"-",IF(AA17=1,((Q17*AB17+2)*AL17),((Q17*AB17+1)*AM17)))</f>
        <v>-</v>
      </c>
      <c r="AO17" s="35" t="s">
        <v>148</v>
      </c>
      <c r="AP17" s="35"/>
      <c r="AQ17" s="35"/>
      <c r="AR17" s="49" t="str">
        <f t="shared" ref="AR17" si="23">IF(Q17=0,"-",Q17)</f>
        <v>-</v>
      </c>
      <c r="AS17" s="47"/>
      <c r="AT17" s="49" t="str">
        <f t="shared" ref="AT17" si="24"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3"/>
        <v>0</v>
      </c>
      <c r="P18" s="41">
        <f t="shared" si="4"/>
        <v>0</v>
      </c>
      <c r="Q18" s="78"/>
      <c r="R18" s="80"/>
      <c r="S18" s="79" t="str">
        <f t="shared" si="5"/>
        <v>-</v>
      </c>
      <c r="T18" s="43"/>
      <c r="U18" s="43"/>
      <c r="V18" s="42"/>
      <c r="W18" s="110" t="str">
        <f t="shared" si="6"/>
        <v>-</v>
      </c>
      <c r="X18" s="45">
        <v>35</v>
      </c>
      <c r="Y18" s="45">
        <v>3</v>
      </c>
      <c r="Z18" s="46" t="e">
        <f t="shared" si="7"/>
        <v>#VALUE!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 t="e">
        <f t="shared" si="9"/>
        <v>#VALUE!</v>
      </c>
      <c r="AF18" s="48" t="e">
        <f t="shared" ref="AF18:AF25" si="25">IF(AB18=0,"-",IF(AC18=0,0,AE18+$AE$61))</f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14</v>
      </c>
      <c r="AO18" s="35"/>
      <c r="AP18" s="35"/>
      <c r="AQ18" s="35"/>
      <c r="AR18" s="49" t="str">
        <f t="shared" si="11"/>
        <v>-</v>
      </c>
      <c r="AS18" s="47">
        <v>16</v>
      </c>
      <c r="AT18" s="49" t="str">
        <f t="shared" si="12"/>
        <v>NÃO</v>
      </c>
      <c r="AU18" s="50">
        <f>O18</f>
        <v>0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3"/>
        <v>0</v>
      </c>
      <c r="P19" s="41">
        <f t="shared" si="4"/>
        <v>0</v>
      </c>
      <c r="Q19" s="78"/>
      <c r="R19" s="80"/>
      <c r="S19" s="79" t="str">
        <f t="shared" si="5"/>
        <v>-</v>
      </c>
      <c r="T19" s="43"/>
      <c r="U19" s="43"/>
      <c r="V19" s="42"/>
      <c r="W19" s="110" t="str">
        <f t="shared" si="6"/>
        <v>-</v>
      </c>
      <c r="X19" s="45">
        <v>25</v>
      </c>
      <c r="Y19" s="45">
        <v>3</v>
      </c>
      <c r="Z19" s="46" t="e">
        <f t="shared" si="7"/>
        <v>#VALUE!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 t="e">
        <f t="shared" si="9"/>
        <v>#VALUE!</v>
      </c>
      <c r="AF19" s="48" t="e">
        <f t="shared" si="25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14</v>
      </c>
      <c r="AO19" s="35"/>
      <c r="AP19" s="35"/>
      <c r="AQ19" s="35"/>
      <c r="AR19" s="49" t="str">
        <f t="shared" si="11"/>
        <v>-</v>
      </c>
      <c r="AS19" s="47">
        <v>16</v>
      </c>
      <c r="AT19" s="49" t="str">
        <f t="shared" si="12"/>
        <v>NÃO</v>
      </c>
      <c r="AU19" s="50"/>
      <c r="AV19" s="50"/>
      <c r="AW19" s="50">
        <f>O19</f>
        <v>0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3"/>
        <v>0</v>
      </c>
      <c r="P20" s="41">
        <f t="shared" si="4"/>
        <v>0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5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 t="str">
        <f t="shared" si="11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3"/>
        <v>0</v>
      </c>
      <c r="P21" s="41">
        <f t="shared" si="4"/>
        <v>0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5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3"/>
        <v>0</v>
      </c>
      <c r="P22" s="41">
        <f t="shared" si="4"/>
        <v>0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5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5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5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5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26">IF(D26=0,0,IF(F26=0,D26*E26/G26,D26*F26*750/(G26*H26)))</f>
        <v>0</v>
      </c>
      <c r="J26" s="41">
        <f t="shared" ref="J26:J44" si="27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ref="O26" si="28">L26*N26</f>
        <v>0</v>
      </c>
      <c r="P26" s="41">
        <f t="shared" ref="P26" si="29">M26*N26</f>
        <v>0</v>
      </c>
      <c r="Q26" s="78"/>
      <c r="R26" s="80"/>
      <c r="S26" s="79" t="str">
        <f t="shared" ref="S26" si="30">IF(V26=0,"-",IF(Q26=0,0,IF(Q26&lt;3,O26/R26,O26/(R26*SQRT(3)))))</f>
        <v>-</v>
      </c>
      <c r="T26" s="43"/>
      <c r="U26" s="43"/>
      <c r="V26" s="42"/>
      <c r="W26" s="110" t="str">
        <f t="shared" ref="W26" si="31">IF(V26=0,"-",IF(V26&lt;15,S26/(T26*U26),(S26/(T26*U26)/0.86)))</f>
        <v>-</v>
      </c>
      <c r="X26" s="45"/>
      <c r="Y26" s="45"/>
      <c r="Z26" s="46" t="str">
        <f t="shared" ref="Z26" si="32">IF(Y26=0,"-",IF(Q26&lt;3,(200*(1/56)*X26*W26)/(Y26*R26),(100*SQRT(3)*(1/56)*X26*W26)/(Y26*R26)))</f>
        <v>-</v>
      </c>
      <c r="AA26" s="47"/>
      <c r="AB26" s="47"/>
      <c r="AC26" s="102"/>
      <c r="AD26" s="46" t="str">
        <f t="shared" ref="AD26" si="33">IF(AB26=0,"-",AB26*AC26)</f>
        <v>-</v>
      </c>
      <c r="AE26" s="46" t="str">
        <f t="shared" ref="AE26" si="34">IF(AB26=0,"-",IF(AC26=0,0,IF(Q26&lt;3,(200*(1/56)*W26*X26)/(AD26*R26),(100*SQRT(3)*(1/56)*W26*X26)/(AD26*R26))))</f>
        <v>-</v>
      </c>
      <c r="AF26" s="48" t="str">
        <f t="shared" ref="AF26" si="35"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ref="AN26" si="36">IF(AK26=0,"-",IF(AA26=1,((Q26*AB26+2)*AL26),((Q26*AB26+1)*AM26)))</f>
        <v>-</v>
      </c>
      <c r="AO26" s="35"/>
      <c r="AP26" s="35"/>
      <c r="AQ26" s="35"/>
      <c r="AR26" s="49" t="str">
        <f t="shared" ref="AR26" si="37">IF(Q26=0,"-",Q26)</f>
        <v>-</v>
      </c>
      <c r="AS26" s="47"/>
      <c r="AT26" s="49" t="str">
        <f t="shared" ref="AT26" si="38"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26"/>
        <v>0</v>
      </c>
      <c r="J27" s="41">
        <f t="shared" si="27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ref="AF27:AF33" si="39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26"/>
        <v>0</v>
      </c>
      <c r="J28" s="41">
        <f t="shared" si="27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39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26"/>
        <v>0</v>
      </c>
      <c r="J29" s="41">
        <f t="shared" si="27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39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26"/>
        <v>0</v>
      </c>
      <c r="J30" s="41">
        <f t="shared" si="27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39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26"/>
        <v>0</v>
      </c>
      <c r="J31" s="178">
        <f t="shared" si="27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39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26"/>
        <v>0</v>
      </c>
      <c r="J32" s="41">
        <f t="shared" si="27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39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26"/>
        <v>0</v>
      </c>
      <c r="J33" s="41">
        <f t="shared" si="27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39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26"/>
        <v>0</v>
      </c>
      <c r="J34" s="41">
        <f t="shared" si="27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26"/>
        <v>0</v>
      </c>
      <c r="J35" s="41">
        <f t="shared" si="27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26"/>
        <v>0</v>
      </c>
      <c r="J36" s="41">
        <f t="shared" si="27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26"/>
        <v>0</v>
      </c>
      <c r="J38" s="41">
        <f t="shared" si="27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40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26"/>
        <v>0</v>
      </c>
      <c r="J39" s="41">
        <f t="shared" si="27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40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26"/>
        <v>0</v>
      </c>
      <c r="J40" s="41">
        <f t="shared" si="27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40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26"/>
        <v>0</v>
      </c>
      <c r="J41" s="41">
        <f t="shared" si="27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40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26"/>
        <v>0</v>
      </c>
      <c r="J42" s="41">
        <f t="shared" si="27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40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26"/>
        <v>0</v>
      </c>
      <c r="J43" s="41">
        <f t="shared" si="27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40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26"/>
        <v>0</v>
      </c>
      <c r="J44" s="41">
        <f t="shared" si="27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40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40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40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40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40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40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40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40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40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40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40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40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40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40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40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40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40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04" t="s">
        <v>74</v>
      </c>
      <c r="B61" s="305"/>
      <c r="C61" s="305"/>
      <c r="D61" s="306"/>
      <c r="E61" s="51"/>
      <c r="F61" s="51">
        <f>SUM(F9:F58)</f>
        <v>0</v>
      </c>
      <c r="G61" s="52">
        <f>COS(ASIN(J61/I61))</f>
        <v>0.92000000000000015</v>
      </c>
      <c r="H61" s="112"/>
      <c r="I61" s="77">
        <f>SUM(I9:I60)</f>
        <v>5947.8260869565211</v>
      </c>
      <c r="J61" s="77">
        <f>SUM(J9:J60)</f>
        <v>2331.0622386973114</v>
      </c>
      <c r="K61" s="77">
        <v>1</v>
      </c>
      <c r="L61" s="77">
        <f>SUM(L9:L60)</f>
        <v>5947.8260869565211</v>
      </c>
      <c r="M61" s="77">
        <f>SUM(M9:M60)</f>
        <v>2331.0622386973114</v>
      </c>
      <c r="N61" s="56">
        <v>1</v>
      </c>
      <c r="O61" s="77">
        <f>L61*N61</f>
        <v>5947.8260869565211</v>
      </c>
      <c r="P61" s="77">
        <f>M61*N61</f>
        <v>2331.0622386973114</v>
      </c>
      <c r="Q61" s="74">
        <v>3</v>
      </c>
      <c r="R61" s="75">
        <v>220</v>
      </c>
      <c r="S61" s="76">
        <f>IF(Q61=0,0,IF(Q61&lt;3,O61/R61,O61/(R61*SQRT(3))))</f>
        <v>15.6089954199883</v>
      </c>
      <c r="T61" s="56">
        <v>1</v>
      </c>
      <c r="U61" s="56">
        <v>0.72</v>
      </c>
      <c r="V61" s="57">
        <v>10</v>
      </c>
      <c r="W61" s="58">
        <f t="shared" ref="W61" si="41">IF(V61=0,0,IF(V61&lt;15,S61/(T61*U61),(S61/(T61*U61)/0.86)))</f>
        <v>21.679160305539305</v>
      </c>
      <c r="X61" s="59">
        <v>30</v>
      </c>
      <c r="Y61" s="59">
        <v>3</v>
      </c>
      <c r="Z61" s="60">
        <f t="shared" ref="Z61" si="42">IF(Q61&lt;3,(200*(1/56)*X61*W61)/(Y61*R61),(100*SQRT(3)*(1/56)*X61*W61)/(Y61*R61))</f>
        <v>3.0478414865766634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2.285881114932498</v>
      </c>
      <c r="AF61" s="48">
        <f>IF(AB61=0,"-",IF(AC61=0,0,AE61))</f>
        <v>2.285881114932498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3">Q61</f>
        <v>3</v>
      </c>
      <c r="AS61" s="47">
        <v>20</v>
      </c>
      <c r="AT61" s="55" t="str">
        <f t="shared" si="12"/>
        <v>NÃO</v>
      </c>
      <c r="AU61" s="55">
        <f>SUM(AU9:AU60)</f>
        <v>1982.6086956521738</v>
      </c>
      <c r="AV61" s="55">
        <f t="shared" ref="AV61:AW61" si="44">SUM(AV9:AV60)</f>
        <v>1982.6086956521738</v>
      </c>
      <c r="AW61" s="55">
        <f t="shared" si="44"/>
        <v>1982.6086956521738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0.33333333333333337</v>
      </c>
      <c r="AV62" s="61">
        <f>AV61/L61</f>
        <v>0.33333333333333337</v>
      </c>
      <c r="AW62" s="61">
        <f>AW61/L61</f>
        <v>0.33333333333333337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07" t="s">
        <v>18</v>
      </c>
      <c r="AP63" s="307"/>
      <c r="AQ63" s="307"/>
      <c r="AR63" s="307"/>
      <c r="AS63" s="307"/>
      <c r="AT63" s="113"/>
      <c r="AU63" s="308">
        <f>(MAX(AU61:AW61)-(AU61+AV61+AW61)/3)/((AU61+AV61+AW61)/3)</f>
        <v>0</v>
      </c>
      <c r="AV63" s="308"/>
      <c r="AW63" s="308"/>
    </row>
    <row r="64" spans="1:73" s="10" customFormat="1">
      <c r="A64" s="95"/>
      <c r="B64" s="309" t="s">
        <v>124</v>
      </c>
      <c r="C64" s="310"/>
      <c r="D64" s="310"/>
      <c r="E64" s="311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299"/>
      <c r="AP64" s="299"/>
      <c r="AQ64" s="299"/>
      <c r="AR64" s="299"/>
      <c r="AS64" s="299"/>
      <c r="AT64" s="299"/>
      <c r="AU64" s="299"/>
      <c r="AV64" s="299"/>
      <c r="AW64" s="299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00" t="s">
        <v>123</v>
      </c>
      <c r="D65" s="301"/>
      <c r="E65" s="30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299"/>
      <c r="AP65" s="299"/>
      <c r="AQ65" s="299"/>
      <c r="AR65" s="299"/>
      <c r="AS65" s="299"/>
      <c r="AT65" s="299"/>
      <c r="AU65" s="299"/>
      <c r="AV65" s="299"/>
      <c r="AW65" s="299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296" t="s">
        <v>107</v>
      </c>
      <c r="D66" s="297"/>
      <c r="E66" s="298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299"/>
      <c r="AP66" s="299"/>
      <c r="AQ66" s="299"/>
      <c r="AR66" s="299"/>
      <c r="AS66" s="299"/>
      <c r="AT66" s="299"/>
      <c r="AU66" s="299"/>
      <c r="AV66" s="299"/>
      <c r="AW66" s="299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296" t="s">
        <v>108</v>
      </c>
      <c r="D67" s="297"/>
      <c r="E67" s="298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299"/>
      <c r="AP67" s="299"/>
      <c r="AQ67" s="299"/>
      <c r="AR67" s="299"/>
      <c r="AS67" s="299"/>
      <c r="AT67" s="299"/>
      <c r="AU67" s="299"/>
      <c r="AV67" s="299"/>
      <c r="AW67" s="299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296" t="s">
        <v>109</v>
      </c>
      <c r="D68" s="297"/>
      <c r="E68" s="298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299"/>
      <c r="AP68" s="299"/>
      <c r="AQ68" s="299"/>
      <c r="AR68" s="299"/>
      <c r="AS68" s="299"/>
      <c r="AT68" s="299"/>
      <c r="AU68" s="299"/>
      <c r="AV68" s="299"/>
      <c r="AW68" s="299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296" t="s">
        <v>110</v>
      </c>
      <c r="D69" s="297"/>
      <c r="E69" s="298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296" t="s">
        <v>112</v>
      </c>
      <c r="D70" s="297"/>
      <c r="E70" s="298"/>
      <c r="L70" s="114"/>
      <c r="AA70" s="90"/>
    </row>
    <row r="71" spans="1:73" s="1" customFormat="1">
      <c r="B71" s="22" t="s">
        <v>113</v>
      </c>
      <c r="C71" s="296" t="s">
        <v>114</v>
      </c>
      <c r="D71" s="297"/>
      <c r="E71" s="298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296" t="s">
        <v>116</v>
      </c>
      <c r="D72" s="297"/>
      <c r="E72" s="298"/>
      <c r="I72" s="11"/>
      <c r="J72" s="11"/>
      <c r="K72" s="11"/>
      <c r="AA72" s="90"/>
    </row>
    <row r="73" spans="1:73" s="1" customFormat="1">
      <c r="B73" s="22" t="s">
        <v>117</v>
      </c>
      <c r="C73" s="296" t="s">
        <v>118</v>
      </c>
      <c r="D73" s="297"/>
      <c r="E73" s="298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296" t="s">
        <v>120</v>
      </c>
      <c r="D74" s="297"/>
      <c r="E74" s="298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296" t="s">
        <v>122</v>
      </c>
      <c r="D75" s="297"/>
      <c r="E75" s="298"/>
      <c r="I75" s="11"/>
      <c r="J75" s="11"/>
      <c r="K75" s="11"/>
      <c r="AA75" s="90"/>
    </row>
    <row r="76" spans="1:73" s="1" customFormat="1" ht="27" customHeight="1">
      <c r="B76" s="22" t="s">
        <v>126</v>
      </c>
      <c r="C76" s="296" t="s">
        <v>127</v>
      </c>
      <c r="D76" s="297"/>
      <c r="E76" s="298"/>
      <c r="I76" s="11"/>
      <c r="J76" s="11"/>
      <c r="K76" s="11"/>
      <c r="AA76" s="90"/>
    </row>
    <row r="77" spans="1:73" s="1" customFormat="1">
      <c r="B77" s="22" t="s">
        <v>128</v>
      </c>
      <c r="C77" s="296" t="s">
        <v>129</v>
      </c>
      <c r="D77" s="297"/>
      <c r="E77" s="298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296" t="s">
        <v>131</v>
      </c>
      <c r="D78" s="297"/>
      <c r="E78" s="298"/>
      <c r="I78" s="11"/>
      <c r="J78" s="11"/>
      <c r="K78" s="11"/>
      <c r="AA78" s="90"/>
    </row>
    <row r="79" spans="1:73" s="1" customFormat="1">
      <c r="B79" s="22" t="s">
        <v>14</v>
      </c>
      <c r="C79" s="296" t="s">
        <v>132</v>
      </c>
      <c r="D79" s="297"/>
      <c r="E79" s="298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296" t="s">
        <v>145</v>
      </c>
      <c r="D80" s="297"/>
      <c r="E80" s="298"/>
      <c r="I80" s="11"/>
      <c r="J80" s="11"/>
      <c r="K80" s="11"/>
      <c r="AA80" s="90"/>
    </row>
    <row r="81" spans="2:27" s="1" customFormat="1">
      <c r="B81" s="22" t="s">
        <v>89</v>
      </c>
      <c r="C81" s="296" t="s">
        <v>146</v>
      </c>
      <c r="D81" s="297"/>
      <c r="E81" s="298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296" t="s">
        <v>147</v>
      </c>
      <c r="D82" s="297"/>
      <c r="E82" s="298"/>
      <c r="I82" s="11"/>
      <c r="J82" s="11"/>
      <c r="K82" s="11"/>
      <c r="AA82" s="90"/>
    </row>
    <row r="83" spans="2:27" s="1" customFormat="1">
      <c r="B83" s="22" t="s">
        <v>148</v>
      </c>
      <c r="C83" s="296" t="s">
        <v>149</v>
      </c>
      <c r="D83" s="297"/>
      <c r="E83" s="298"/>
      <c r="I83" s="11"/>
      <c r="J83" s="11"/>
      <c r="K83" s="11"/>
      <c r="AA83" s="90"/>
    </row>
    <row r="84" spans="2:27" s="1" customFormat="1">
      <c r="B84" s="22" t="s">
        <v>150</v>
      </c>
      <c r="C84" s="296" t="s">
        <v>151</v>
      </c>
      <c r="D84" s="297"/>
      <c r="E84" s="298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Rca Xl</vt:lpstr>
      <vt:lpstr>FCA-FCT</vt:lpstr>
      <vt:lpstr>Tabela eletroduto</vt:lpstr>
      <vt:lpstr>Tabela Cabos</vt:lpstr>
      <vt:lpstr>QD-11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2018-12-03T02:30:17Z</dcterms:modified>
</cp:coreProperties>
</file>