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3/"/>
    </mc:Choice>
  </mc:AlternateContent>
  <xr:revisionPtr revIDLastSave="335" documentId="13_ncr:1_{8ECBC214-F8B7-403A-9228-085BBCD9B84A}" xr6:coauthVersionLast="47" xr6:coauthVersionMax="47" xr10:uidLastSave="{1794CD6F-E503-4D5C-B648-3096C5F1D6C4}"/>
  <bookViews>
    <workbookView xWindow="-120" yWindow="-120" windowWidth="38640" windowHeight="15840" activeTab="3" xr2:uid="{00000000-000D-0000-FFFF-FFFF00000000}"/>
  </bookViews>
  <sheets>
    <sheet name="SEMANAS" sheetId="2" r:id="rId1"/>
    <sheet name="CUSTO ATIVIDADE" sheetId="4" r:id="rId2"/>
    <sheet name="REPLAN" sheetId="11" r:id="rId3"/>
    <sheet name="BANCO DE DADOS" sheetId="1" r:id="rId4"/>
    <sheet name="MT-MO" sheetId="7" r:id="rId5"/>
    <sheet name="TD - CURVA S" sheetId="5" r:id="rId6"/>
    <sheet name="CURVA S" sheetId="6" r:id="rId7"/>
    <sheet name="TD - FC" sheetId="8" r:id="rId8"/>
    <sheet name="FC - EDIFICAÇÃO" sheetId="9" r:id="rId9"/>
    <sheet name="FLUXO DE CAIXA" sheetId="10" r:id="rId10"/>
  </sheets>
  <definedNames>
    <definedName name="_xlnm._FilterDatabase" localSheetId="3" hidden="1">'BANCO DE DADOS'!$A$2:$AJ$121</definedName>
  </definedNames>
  <calcPr calcId="191029"/>
  <pivotCaches>
    <pivotCache cacheId="9" r:id="rId11"/>
    <pivotCache cacheId="10" r:id="rId12"/>
    <pivotCache cacheId="3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6" l="1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3" i="6"/>
  <c r="AF121" i="1"/>
  <c r="AF120" i="1"/>
  <c r="AF118" i="1"/>
  <c r="AF117" i="1"/>
  <c r="AF115" i="1"/>
  <c r="AF114" i="1"/>
  <c r="AF112" i="1"/>
  <c r="AF111" i="1"/>
  <c r="AF109" i="1"/>
  <c r="AF108" i="1"/>
  <c r="AF106" i="1"/>
  <c r="AF105" i="1"/>
  <c r="AF102" i="1"/>
  <c r="AF101" i="1"/>
  <c r="AF100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7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6" i="1"/>
  <c r="AF55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4" i="1"/>
  <c r="AF33" i="1"/>
  <c r="AF12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11" i="1"/>
  <c r="AF9" i="1"/>
  <c r="AF8" i="1"/>
  <c r="AF7" i="1"/>
  <c r="AF6" i="1"/>
  <c r="AF5" i="1"/>
  <c r="R3" i="1"/>
  <c r="M99" i="1"/>
  <c r="AI99" i="1" s="1"/>
  <c r="AJ99" i="1" s="1"/>
  <c r="M78" i="1"/>
  <c r="AI78" i="1" s="1"/>
  <c r="AJ78" i="1" s="1"/>
  <c r="M77" i="1"/>
  <c r="AI77" i="1" s="1"/>
  <c r="AJ77" i="1" s="1"/>
  <c r="M56" i="1"/>
  <c r="AI56" i="1" s="1"/>
  <c r="AJ56" i="1" s="1"/>
  <c r="M55" i="1"/>
  <c r="AI55" i="1" s="1"/>
  <c r="AJ55" i="1" s="1"/>
  <c r="M36" i="1"/>
  <c r="AI36" i="1" s="1"/>
  <c r="AJ36" i="1" s="1"/>
  <c r="M34" i="1"/>
  <c r="AI34" i="1" s="1"/>
  <c r="AJ34" i="1" s="1"/>
  <c r="M33" i="1"/>
  <c r="AI33" i="1" s="1"/>
  <c r="AJ33" i="1" s="1"/>
  <c r="L9" i="1"/>
  <c r="AH9" i="1" s="1"/>
  <c r="L8" i="1"/>
  <c r="AH8" i="1" s="1"/>
  <c r="L7" i="1"/>
  <c r="AH7" i="1" s="1"/>
  <c r="L6" i="1"/>
  <c r="AH6" i="1" s="1"/>
  <c r="L5" i="1"/>
  <c r="AH5" i="1" s="1"/>
  <c r="L14" i="1"/>
  <c r="AH14" i="1" s="1"/>
  <c r="L12" i="1"/>
  <c r="AH12" i="1" s="1"/>
  <c r="L11" i="1"/>
  <c r="AH11" i="1" s="1"/>
  <c r="M9" i="1"/>
  <c r="AI9" i="1" s="1"/>
  <c r="AJ9" i="1" s="1"/>
  <c r="M8" i="1"/>
  <c r="AI8" i="1" s="1"/>
  <c r="AJ8" i="1" s="1"/>
  <c r="M7" i="1"/>
  <c r="AI7" i="1" s="1"/>
  <c r="AJ7" i="1" s="1"/>
  <c r="M6" i="1"/>
  <c r="AI6" i="1" s="1"/>
  <c r="AJ6" i="1" s="1"/>
  <c r="M5" i="1"/>
  <c r="AI5" i="1" s="1"/>
  <c r="AJ5" i="1" s="1"/>
  <c r="M11" i="1"/>
  <c r="AI11" i="1" s="1"/>
  <c r="AJ11" i="1" s="1"/>
  <c r="M12" i="1"/>
  <c r="AI12" i="1" s="1"/>
  <c r="AJ12" i="1" s="1"/>
  <c r="M14" i="1"/>
  <c r="AI14" i="1" s="1"/>
  <c r="AJ14" i="1" s="1"/>
  <c r="L99" i="1"/>
  <c r="AH99" i="1" s="1"/>
  <c r="L78" i="1"/>
  <c r="AH78" i="1" s="1"/>
  <c r="L77" i="1"/>
  <c r="AH77" i="1" s="1"/>
  <c r="L56" i="1"/>
  <c r="AH56" i="1" s="1"/>
  <c r="L55" i="1"/>
  <c r="AH55" i="1" s="1"/>
  <c r="L36" i="1"/>
  <c r="AH36" i="1" s="1"/>
  <c r="L34" i="1"/>
  <c r="AH34" i="1" s="1"/>
  <c r="L33" i="1"/>
  <c r="AH33" i="1" s="1"/>
  <c r="H3" i="6" l="1"/>
  <c r="H4" i="6"/>
  <c r="H5" i="6" s="1"/>
  <c r="H6" i="6"/>
  <c r="H7" i="6" l="1"/>
  <c r="H8" i="6" l="1"/>
  <c r="H9" i="6" l="1"/>
  <c r="H10" i="6" l="1"/>
  <c r="H11" i="6" l="1"/>
  <c r="H12" i="6" l="1"/>
  <c r="H13" i="6" l="1"/>
  <c r="H14" i="6" l="1"/>
  <c r="H15" i="6" l="1"/>
  <c r="H16" i="6" l="1"/>
  <c r="H17" i="6" l="1"/>
  <c r="H18" i="6" l="1"/>
  <c r="H19" i="6" l="1"/>
  <c r="L19" i="6" s="1"/>
  <c r="L20" i="6" l="1"/>
  <c r="L21" i="6" l="1"/>
  <c r="L22" i="6" l="1"/>
  <c r="L23" i="6" l="1"/>
  <c r="L24" i="6" l="1"/>
  <c r="L25" i="6" l="1"/>
  <c r="L26" i="6" l="1"/>
  <c r="L27" i="6" l="1"/>
  <c r="J13" i="1" l="1"/>
  <c r="K99" i="1"/>
  <c r="AF99" i="1" s="1"/>
  <c r="K78" i="1"/>
  <c r="AF78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L79" i="1" s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3" i="1"/>
  <c r="F52" i="10"/>
  <c r="G52" i="10"/>
  <c r="W52" i="10" s="1"/>
  <c r="H52" i="10"/>
  <c r="I52" i="10"/>
  <c r="J52" i="10"/>
  <c r="J45" i="10" s="1"/>
  <c r="J8" i="10" s="1"/>
  <c r="K52" i="10"/>
  <c r="L52" i="10"/>
  <c r="M52" i="10"/>
  <c r="M45" i="10" s="1"/>
  <c r="M8" i="10" s="1"/>
  <c r="N52" i="10"/>
  <c r="O52" i="10"/>
  <c r="E52" i="10"/>
  <c r="V10" i="1"/>
  <c r="W10" i="1"/>
  <c r="V32" i="1"/>
  <c r="W32" i="1"/>
  <c r="V54" i="1"/>
  <c r="W54" i="1"/>
  <c r="V76" i="1"/>
  <c r="W76" i="1"/>
  <c r="V98" i="1"/>
  <c r="W98" i="1"/>
  <c r="V103" i="1"/>
  <c r="W103" i="1"/>
  <c r="V104" i="1"/>
  <c r="W104" i="1"/>
  <c r="V107" i="1"/>
  <c r="W107" i="1"/>
  <c r="V110" i="1"/>
  <c r="W110" i="1"/>
  <c r="V113" i="1"/>
  <c r="W113" i="1"/>
  <c r="V116" i="1"/>
  <c r="W116" i="1"/>
  <c r="V119" i="1"/>
  <c r="W119" i="1"/>
  <c r="W55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D44" i="10"/>
  <c r="W56" i="10"/>
  <c r="E55" i="10"/>
  <c r="W54" i="10"/>
  <c r="W53" i="10"/>
  <c r="J53" i="10"/>
  <c r="U50" i="10"/>
  <c r="T50" i="10"/>
  <c r="T45" i="10" s="1"/>
  <c r="T8" i="10" s="1"/>
  <c r="S50" i="10"/>
  <c r="S45" i="10" s="1"/>
  <c r="S8" i="10" s="1"/>
  <c r="R50" i="10"/>
  <c r="R45" i="10" s="1"/>
  <c r="R8" i="10" s="1"/>
  <c r="Q50" i="10"/>
  <c r="Q45" i="10" s="1"/>
  <c r="Q8" i="10" s="1"/>
  <c r="P50" i="10"/>
  <c r="P45" i="10" s="1"/>
  <c r="P8" i="10" s="1"/>
  <c r="O50" i="10"/>
  <c r="O45" i="10" s="1"/>
  <c r="O8" i="10" s="1"/>
  <c r="N50" i="10"/>
  <c r="M50" i="10"/>
  <c r="L50" i="10"/>
  <c r="K50" i="10"/>
  <c r="K45" i="10" s="1"/>
  <c r="K8" i="10" s="1"/>
  <c r="J50" i="10"/>
  <c r="I50" i="10"/>
  <c r="H50" i="10"/>
  <c r="G50" i="10"/>
  <c r="F50" i="10"/>
  <c r="E50" i="10"/>
  <c r="E45" i="10" s="1"/>
  <c r="E8" i="10" s="1"/>
  <c r="D50" i="10"/>
  <c r="E49" i="10"/>
  <c r="W49" i="10" s="1"/>
  <c r="W48" i="10"/>
  <c r="W47" i="10"/>
  <c r="U45" i="10"/>
  <c r="N45" i="10"/>
  <c r="N8" i="10" s="1"/>
  <c r="L45" i="10"/>
  <c r="L8" i="10" s="1"/>
  <c r="I45" i="10"/>
  <c r="I8" i="10" s="1"/>
  <c r="D45" i="10"/>
  <c r="D8" i="10" s="1"/>
  <c r="W39" i="10"/>
  <c r="U38" i="10"/>
  <c r="U7" i="10" s="1"/>
  <c r="T38" i="10"/>
  <c r="S38" i="10"/>
  <c r="R38" i="10"/>
  <c r="R7" i="10" s="1"/>
  <c r="R10" i="10" s="1"/>
  <c r="Q38" i="10"/>
  <c r="P38" i="10"/>
  <c r="O38" i="10"/>
  <c r="N38" i="10"/>
  <c r="N7" i="10" s="1"/>
  <c r="M38" i="10"/>
  <c r="M7" i="10" s="1"/>
  <c r="L38" i="10"/>
  <c r="K38" i="10"/>
  <c r="J38" i="10"/>
  <c r="I38" i="10"/>
  <c r="I7" i="10" s="1"/>
  <c r="H38" i="10"/>
  <c r="G38" i="10"/>
  <c r="F38" i="10"/>
  <c r="W38" i="10" s="1"/>
  <c r="E38" i="10"/>
  <c r="U8" i="10"/>
  <c r="T7" i="10"/>
  <c r="S7" i="10"/>
  <c r="Q7" i="10"/>
  <c r="P7" i="10"/>
  <c r="O7" i="10"/>
  <c r="L7" i="10"/>
  <c r="K7" i="10"/>
  <c r="J7" i="10"/>
  <c r="H7" i="10"/>
  <c r="G7" i="10"/>
  <c r="E7" i="10"/>
  <c r="D7" i="10"/>
  <c r="O5" i="9"/>
  <c r="N5" i="9"/>
  <c r="M5" i="9"/>
  <c r="L5" i="9"/>
  <c r="K5" i="9"/>
  <c r="J5" i="9"/>
  <c r="I5" i="9"/>
  <c r="H5" i="9"/>
  <c r="G5" i="9"/>
  <c r="F5" i="9"/>
  <c r="E5" i="9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Y5" i="1"/>
  <c r="X5" i="1"/>
  <c r="U95" i="1"/>
  <c r="T95" i="1"/>
  <c r="U73" i="1"/>
  <c r="T73" i="1"/>
  <c r="U51" i="1"/>
  <c r="T51" i="1"/>
  <c r="U29" i="1"/>
  <c r="T29" i="1"/>
  <c r="U121" i="1"/>
  <c r="U120" i="1"/>
  <c r="U118" i="1"/>
  <c r="U117" i="1"/>
  <c r="U115" i="1"/>
  <c r="U114" i="1"/>
  <c r="U112" i="1"/>
  <c r="U111" i="1"/>
  <c r="U109" i="1"/>
  <c r="U108" i="1"/>
  <c r="U106" i="1"/>
  <c r="U105" i="1"/>
  <c r="U102" i="1"/>
  <c r="U101" i="1"/>
  <c r="U100" i="1"/>
  <c r="U99" i="1"/>
  <c r="U97" i="1"/>
  <c r="U96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5" i="1"/>
  <c r="U74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3" i="1"/>
  <c r="U52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1" i="1"/>
  <c r="U30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9" i="1"/>
  <c r="U8" i="1"/>
  <c r="U7" i="1"/>
  <c r="U6" i="1"/>
  <c r="U5" i="1"/>
  <c r="T5" i="1"/>
  <c r="T6" i="1"/>
  <c r="T7" i="1"/>
  <c r="T8" i="1"/>
  <c r="T9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2" i="1"/>
  <c r="T53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4" i="1"/>
  <c r="T75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6" i="1"/>
  <c r="T97" i="1"/>
  <c r="T99" i="1"/>
  <c r="T100" i="1"/>
  <c r="T101" i="1"/>
  <c r="T102" i="1"/>
  <c r="T105" i="1"/>
  <c r="T106" i="1"/>
  <c r="T108" i="1"/>
  <c r="T109" i="1"/>
  <c r="T111" i="1"/>
  <c r="T112" i="1"/>
  <c r="T114" i="1"/>
  <c r="T115" i="1"/>
  <c r="T117" i="1"/>
  <c r="T118" i="1"/>
  <c r="T120" i="1"/>
  <c r="T121" i="1"/>
  <c r="L95" i="1" l="1"/>
  <c r="AH95" i="1" s="1"/>
  <c r="M95" i="1"/>
  <c r="AI95" i="1" s="1"/>
  <c r="M94" i="1"/>
  <c r="AI94" i="1" s="1"/>
  <c r="L94" i="1"/>
  <c r="AH94" i="1" s="1"/>
  <c r="L120" i="1"/>
  <c r="AH120" i="1" s="1"/>
  <c r="M120" i="1"/>
  <c r="AI120" i="1" s="1"/>
  <c r="M108" i="1"/>
  <c r="AI108" i="1" s="1"/>
  <c r="L108" i="1"/>
  <c r="AH108" i="1" s="1"/>
  <c r="L96" i="1"/>
  <c r="AH96" i="1" s="1"/>
  <c r="M96" i="1"/>
  <c r="AI96" i="1" s="1"/>
  <c r="L84" i="1"/>
  <c r="AH84" i="1" s="1"/>
  <c r="M84" i="1"/>
  <c r="AI84" i="1" s="1"/>
  <c r="L72" i="1"/>
  <c r="AH72" i="1" s="1"/>
  <c r="M72" i="1"/>
  <c r="AI72" i="1" s="1"/>
  <c r="L60" i="1"/>
  <c r="AH60" i="1" s="1"/>
  <c r="M60" i="1"/>
  <c r="AI60" i="1" s="1"/>
  <c r="L48" i="1"/>
  <c r="AH48" i="1" s="1"/>
  <c r="M48" i="1"/>
  <c r="AI48" i="1" s="1"/>
  <c r="M24" i="1"/>
  <c r="AI24" i="1" s="1"/>
  <c r="L24" i="1"/>
  <c r="AH24" i="1" s="1"/>
  <c r="L117" i="1"/>
  <c r="AH117" i="1" s="1"/>
  <c r="M117" i="1"/>
  <c r="AI117" i="1" s="1"/>
  <c r="M105" i="1"/>
  <c r="AI105" i="1" s="1"/>
  <c r="L105" i="1"/>
  <c r="AH105" i="1" s="1"/>
  <c r="M93" i="1"/>
  <c r="AI93" i="1" s="1"/>
  <c r="L93" i="1"/>
  <c r="AH93" i="1" s="1"/>
  <c r="M81" i="1"/>
  <c r="AI81" i="1" s="1"/>
  <c r="L81" i="1"/>
  <c r="AH81" i="1" s="1"/>
  <c r="M69" i="1"/>
  <c r="AI69" i="1" s="1"/>
  <c r="L69" i="1"/>
  <c r="AH69" i="1" s="1"/>
  <c r="M45" i="1"/>
  <c r="AI45" i="1" s="1"/>
  <c r="L45" i="1"/>
  <c r="AH45" i="1" s="1"/>
  <c r="M21" i="1"/>
  <c r="AI21" i="1" s="1"/>
  <c r="L21" i="1"/>
  <c r="AH21" i="1" s="1"/>
  <c r="M83" i="1"/>
  <c r="AI83" i="1" s="1"/>
  <c r="L83" i="1"/>
  <c r="AH83" i="1" s="1"/>
  <c r="L118" i="1"/>
  <c r="AH118" i="1" s="1"/>
  <c r="M118" i="1"/>
  <c r="AI118" i="1" s="1"/>
  <c r="M92" i="1"/>
  <c r="AI92" i="1" s="1"/>
  <c r="L92" i="1"/>
  <c r="AH92" i="1" s="1"/>
  <c r="M80" i="1"/>
  <c r="AI80" i="1" s="1"/>
  <c r="L80" i="1"/>
  <c r="AH80" i="1" s="1"/>
  <c r="M68" i="1"/>
  <c r="AI68" i="1" s="1"/>
  <c r="L68" i="1"/>
  <c r="AH68" i="1" s="1"/>
  <c r="M44" i="1"/>
  <c r="AI44" i="1" s="1"/>
  <c r="L44" i="1"/>
  <c r="AH44" i="1" s="1"/>
  <c r="M20" i="1"/>
  <c r="AI20" i="1" s="1"/>
  <c r="L20" i="1"/>
  <c r="AH20" i="1" s="1"/>
  <c r="L47" i="1"/>
  <c r="AH47" i="1" s="1"/>
  <c r="M47" i="1"/>
  <c r="AI47" i="1" s="1"/>
  <c r="L115" i="1"/>
  <c r="AH115" i="1" s="1"/>
  <c r="M115" i="1"/>
  <c r="AI115" i="1" s="1"/>
  <c r="M91" i="1"/>
  <c r="AI91" i="1" s="1"/>
  <c r="L91" i="1"/>
  <c r="AH91" i="1" s="1"/>
  <c r="AI79" i="1"/>
  <c r="AH79" i="1"/>
  <c r="M67" i="1"/>
  <c r="AI67" i="1" s="1"/>
  <c r="L67" i="1"/>
  <c r="AH67" i="1" s="1"/>
  <c r="M43" i="1"/>
  <c r="AI43" i="1" s="1"/>
  <c r="L43" i="1"/>
  <c r="AH43" i="1" s="1"/>
  <c r="M31" i="1"/>
  <c r="AI31" i="1" s="1"/>
  <c r="L31" i="1"/>
  <c r="AH31" i="1" s="1"/>
  <c r="L19" i="1"/>
  <c r="AH19" i="1" s="1"/>
  <c r="M19" i="1"/>
  <c r="AI19" i="1" s="1"/>
  <c r="M71" i="1"/>
  <c r="AI71" i="1" s="1"/>
  <c r="L71" i="1"/>
  <c r="AH71" i="1" s="1"/>
  <c r="L46" i="1"/>
  <c r="AH46" i="1" s="1"/>
  <c r="M46" i="1"/>
  <c r="AI46" i="1" s="1"/>
  <c r="M114" i="1"/>
  <c r="AI114" i="1" s="1"/>
  <c r="L114" i="1"/>
  <c r="AH114" i="1" s="1"/>
  <c r="L102" i="1"/>
  <c r="AH102" i="1" s="1"/>
  <c r="M102" i="1"/>
  <c r="AI102" i="1" s="1"/>
  <c r="L90" i="1"/>
  <c r="AH90" i="1" s="1"/>
  <c r="M90" i="1"/>
  <c r="AI90" i="1" s="1"/>
  <c r="M66" i="1"/>
  <c r="AI66" i="1" s="1"/>
  <c r="L66" i="1"/>
  <c r="AH66" i="1" s="1"/>
  <c r="M42" i="1"/>
  <c r="AI42" i="1" s="1"/>
  <c r="L42" i="1"/>
  <c r="AH42" i="1" s="1"/>
  <c r="L30" i="1"/>
  <c r="AH30" i="1" s="1"/>
  <c r="M30" i="1"/>
  <c r="AI30" i="1" s="1"/>
  <c r="L18" i="1"/>
  <c r="AH18" i="1" s="1"/>
  <c r="M18" i="1"/>
  <c r="AI18" i="1" s="1"/>
  <c r="M58" i="1"/>
  <c r="AI58" i="1" s="1"/>
  <c r="L58" i="1"/>
  <c r="AH58" i="1" s="1"/>
  <c r="L101" i="1"/>
  <c r="AH101" i="1" s="1"/>
  <c r="M101" i="1"/>
  <c r="AI101" i="1" s="1"/>
  <c r="M89" i="1"/>
  <c r="AI89" i="1" s="1"/>
  <c r="L89" i="1"/>
  <c r="AH89" i="1" s="1"/>
  <c r="M65" i="1"/>
  <c r="AI65" i="1" s="1"/>
  <c r="L65" i="1"/>
  <c r="AH65" i="1" s="1"/>
  <c r="M53" i="1"/>
  <c r="AI53" i="1" s="1"/>
  <c r="L53" i="1"/>
  <c r="AH53" i="1" s="1"/>
  <c r="M41" i="1"/>
  <c r="AI41" i="1" s="1"/>
  <c r="L41" i="1"/>
  <c r="AH41" i="1" s="1"/>
  <c r="L29" i="1"/>
  <c r="AH29" i="1" s="1"/>
  <c r="M29" i="1"/>
  <c r="AI29" i="1" s="1"/>
  <c r="M17" i="1"/>
  <c r="AI17" i="1" s="1"/>
  <c r="L17" i="1"/>
  <c r="AH17" i="1" s="1"/>
  <c r="M70" i="1"/>
  <c r="AI70" i="1" s="1"/>
  <c r="L70" i="1"/>
  <c r="AH70" i="1" s="1"/>
  <c r="M112" i="1"/>
  <c r="AI112" i="1" s="1"/>
  <c r="L112" i="1"/>
  <c r="AH112" i="1" s="1"/>
  <c r="L100" i="1"/>
  <c r="AH100" i="1" s="1"/>
  <c r="M100" i="1"/>
  <c r="AI100" i="1" s="1"/>
  <c r="L88" i="1"/>
  <c r="AH88" i="1" s="1"/>
  <c r="M88" i="1"/>
  <c r="AI88" i="1" s="1"/>
  <c r="L64" i="1"/>
  <c r="AH64" i="1" s="1"/>
  <c r="M64" i="1"/>
  <c r="AI64" i="1" s="1"/>
  <c r="M52" i="1"/>
  <c r="AI52" i="1" s="1"/>
  <c r="L52" i="1"/>
  <c r="AH52" i="1" s="1"/>
  <c r="L40" i="1"/>
  <c r="AH40" i="1" s="1"/>
  <c r="M40" i="1"/>
  <c r="AI40" i="1" s="1"/>
  <c r="M28" i="1"/>
  <c r="AI28" i="1" s="1"/>
  <c r="L28" i="1"/>
  <c r="AH28" i="1" s="1"/>
  <c r="M16" i="1"/>
  <c r="AI16" i="1" s="1"/>
  <c r="L16" i="1"/>
  <c r="AH16" i="1" s="1"/>
  <c r="M106" i="1"/>
  <c r="AI106" i="1" s="1"/>
  <c r="L106" i="1"/>
  <c r="AH106" i="1" s="1"/>
  <c r="M111" i="1"/>
  <c r="AI111" i="1" s="1"/>
  <c r="L111" i="1"/>
  <c r="AH111" i="1" s="1"/>
  <c r="L87" i="1"/>
  <c r="AH87" i="1" s="1"/>
  <c r="M87" i="1"/>
  <c r="AI87" i="1" s="1"/>
  <c r="L75" i="1"/>
  <c r="AH75" i="1" s="1"/>
  <c r="M75" i="1"/>
  <c r="AI75" i="1" s="1"/>
  <c r="L63" i="1"/>
  <c r="AH63" i="1" s="1"/>
  <c r="M63" i="1"/>
  <c r="AI63" i="1" s="1"/>
  <c r="L51" i="1"/>
  <c r="AH51" i="1" s="1"/>
  <c r="M51" i="1"/>
  <c r="AI51" i="1" s="1"/>
  <c r="L39" i="1"/>
  <c r="AH39" i="1" s="1"/>
  <c r="M39" i="1"/>
  <c r="AI39" i="1" s="1"/>
  <c r="M27" i="1"/>
  <c r="AI27" i="1" s="1"/>
  <c r="L27" i="1"/>
  <c r="AH27" i="1" s="1"/>
  <c r="M15" i="1"/>
  <c r="AI15" i="1" s="1"/>
  <c r="L15" i="1"/>
  <c r="AH15" i="1" s="1"/>
  <c r="L59" i="1"/>
  <c r="AH59" i="1" s="1"/>
  <c r="M59" i="1"/>
  <c r="AI59" i="1" s="1"/>
  <c r="L22" i="1"/>
  <c r="AH22" i="1" s="1"/>
  <c r="M22" i="1"/>
  <c r="AI22" i="1" s="1"/>
  <c r="L86" i="1"/>
  <c r="AH86" i="1" s="1"/>
  <c r="M86" i="1"/>
  <c r="AI86" i="1" s="1"/>
  <c r="L74" i="1"/>
  <c r="AH74" i="1" s="1"/>
  <c r="M74" i="1"/>
  <c r="AI74" i="1" s="1"/>
  <c r="L62" i="1"/>
  <c r="AH62" i="1" s="1"/>
  <c r="M62" i="1"/>
  <c r="AI62" i="1" s="1"/>
  <c r="L50" i="1"/>
  <c r="AH50" i="1" s="1"/>
  <c r="M50" i="1"/>
  <c r="AI50" i="1" s="1"/>
  <c r="L38" i="1"/>
  <c r="AH38" i="1" s="1"/>
  <c r="M38" i="1"/>
  <c r="AI38" i="1" s="1"/>
  <c r="M26" i="1"/>
  <c r="AI26" i="1" s="1"/>
  <c r="L26" i="1"/>
  <c r="AH26" i="1" s="1"/>
  <c r="M23" i="1"/>
  <c r="AI23" i="1" s="1"/>
  <c r="L23" i="1"/>
  <c r="AH23" i="1" s="1"/>
  <c r="M82" i="1"/>
  <c r="AI82" i="1" s="1"/>
  <c r="L82" i="1"/>
  <c r="AH82" i="1" s="1"/>
  <c r="L121" i="1"/>
  <c r="AH121" i="1" s="1"/>
  <c r="M121" i="1"/>
  <c r="AI121" i="1" s="1"/>
  <c r="M109" i="1"/>
  <c r="AI109" i="1" s="1"/>
  <c r="L109" i="1"/>
  <c r="AH109" i="1" s="1"/>
  <c r="L97" i="1"/>
  <c r="AH97" i="1" s="1"/>
  <c r="M97" i="1"/>
  <c r="AI97" i="1" s="1"/>
  <c r="L85" i="1"/>
  <c r="AH85" i="1" s="1"/>
  <c r="M85" i="1"/>
  <c r="AI85" i="1" s="1"/>
  <c r="L73" i="1"/>
  <c r="AH73" i="1" s="1"/>
  <c r="M73" i="1"/>
  <c r="AI73" i="1" s="1"/>
  <c r="L61" i="1"/>
  <c r="AH61" i="1" s="1"/>
  <c r="M61" i="1"/>
  <c r="AI61" i="1" s="1"/>
  <c r="L49" i="1"/>
  <c r="AH49" i="1" s="1"/>
  <c r="M49" i="1"/>
  <c r="AI49" i="1" s="1"/>
  <c r="L37" i="1"/>
  <c r="AH37" i="1" s="1"/>
  <c r="M37" i="1"/>
  <c r="AI37" i="1" s="1"/>
  <c r="M25" i="1"/>
  <c r="AI25" i="1" s="1"/>
  <c r="L25" i="1"/>
  <c r="AH25" i="1" s="1"/>
  <c r="K13" i="1"/>
  <c r="M13" i="1"/>
  <c r="AI13" i="1" s="1"/>
  <c r="AJ13" i="1" s="1"/>
  <c r="L13" i="1"/>
  <c r="AH13" i="1" s="1"/>
  <c r="G45" i="10"/>
  <c r="G8" i="10" s="1"/>
  <c r="H45" i="10"/>
  <c r="H8" i="10" s="1"/>
  <c r="H10" i="10" s="1"/>
  <c r="W50" i="10"/>
  <c r="U10" i="10"/>
  <c r="Q10" i="10"/>
  <c r="S10" i="10"/>
  <c r="J10" i="10"/>
  <c r="G10" i="10"/>
  <c r="P10" i="10"/>
  <c r="E10" i="10"/>
  <c r="D10" i="10"/>
  <c r="D11" i="10" s="1"/>
  <c r="M10" i="10"/>
  <c r="K10" i="10"/>
  <c r="O10" i="10"/>
  <c r="I10" i="10"/>
  <c r="L10" i="10"/>
  <c r="T10" i="10"/>
  <c r="N10" i="10"/>
  <c r="W45" i="10"/>
  <c r="F45" i="10"/>
  <c r="F8" i="10" s="1"/>
  <c r="W8" i="10" s="1"/>
  <c r="F7" i="10"/>
  <c r="C40" i="6"/>
  <c r="C41" i="6"/>
  <c r="C42" i="6"/>
  <c r="C43" i="6"/>
  <c r="C44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R4" i="1"/>
  <c r="R5" i="1"/>
  <c r="P101" i="1"/>
  <c r="Q101" i="1" s="1"/>
  <c r="P73" i="1"/>
  <c r="Q73" i="1" s="1"/>
  <c r="P95" i="1"/>
  <c r="Q95" i="1" s="1"/>
  <c r="P51" i="1"/>
  <c r="Q51" i="1" s="1"/>
  <c r="P29" i="1"/>
  <c r="Q29" i="1" s="1"/>
  <c r="P121" i="1"/>
  <c r="Q121" i="1" s="1"/>
  <c r="P120" i="1"/>
  <c r="Q120" i="1" s="1"/>
  <c r="P118" i="1"/>
  <c r="Q118" i="1" s="1"/>
  <c r="P117" i="1"/>
  <c r="Q117" i="1" s="1"/>
  <c r="P115" i="1"/>
  <c r="Q115" i="1" s="1"/>
  <c r="P114" i="1"/>
  <c r="Q114" i="1" s="1"/>
  <c r="P112" i="1"/>
  <c r="Q112" i="1" s="1"/>
  <c r="P111" i="1"/>
  <c r="Q111" i="1" s="1"/>
  <c r="P109" i="1"/>
  <c r="Q109" i="1" s="1"/>
  <c r="P108" i="1"/>
  <c r="Q108" i="1" s="1"/>
  <c r="P106" i="1"/>
  <c r="Q106" i="1" s="1"/>
  <c r="P105" i="1"/>
  <c r="Q105" i="1" s="1"/>
  <c r="P102" i="1"/>
  <c r="Q102" i="1" s="1"/>
  <c r="P100" i="1"/>
  <c r="Q100" i="1" s="1"/>
  <c r="P99" i="1"/>
  <c r="Q99" i="1" s="1"/>
  <c r="P97" i="1"/>
  <c r="Q97" i="1" s="1"/>
  <c r="P96" i="1"/>
  <c r="Q96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79" i="1"/>
  <c r="Q79" i="1" s="1"/>
  <c r="P78" i="1"/>
  <c r="Q78" i="1" s="1"/>
  <c r="P77" i="1"/>
  <c r="Q77" i="1" s="1"/>
  <c r="P75" i="1"/>
  <c r="Q75" i="1" s="1"/>
  <c r="P74" i="1"/>
  <c r="Q74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P55" i="1"/>
  <c r="Q55" i="1" s="1"/>
  <c r="P53" i="1"/>
  <c r="Q53" i="1" s="1"/>
  <c r="P52" i="1"/>
  <c r="Q52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1" i="1"/>
  <c r="Q31" i="1" s="1"/>
  <c r="P30" i="1"/>
  <c r="Q30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9" i="1"/>
  <c r="Q9" i="1" s="1"/>
  <c r="P8" i="1"/>
  <c r="Q8" i="1" s="1"/>
  <c r="P7" i="1"/>
  <c r="Q7" i="1" s="1"/>
  <c r="P6" i="1"/>
  <c r="Q6" i="1" s="1"/>
  <c r="P5" i="1"/>
  <c r="Q5" i="1" s="1"/>
  <c r="AE5" i="1" s="1"/>
  <c r="B2" i="2"/>
  <c r="C18" i="2"/>
  <c r="C25" i="2" s="1"/>
  <c r="C32" i="2" s="1"/>
  <c r="C39" i="2" s="1"/>
  <c r="C46" i="2" s="1"/>
  <c r="C53" i="2" s="1"/>
  <c r="C60" i="2" s="1"/>
  <c r="C67" i="2" s="1"/>
  <c r="C74" i="2" s="1"/>
  <c r="C81" i="2" s="1"/>
  <c r="C88" i="2" s="1"/>
  <c r="C95" i="2" s="1"/>
  <c r="C102" i="2" s="1"/>
  <c r="C109" i="2" s="1"/>
  <c r="C116" i="2" s="1"/>
  <c r="C123" i="2" s="1"/>
  <c r="C130" i="2" s="1"/>
  <c r="C137" i="2" s="1"/>
  <c r="C144" i="2" s="1"/>
  <c r="C151" i="2" s="1"/>
  <c r="C158" i="2" s="1"/>
  <c r="C165" i="2" s="1"/>
  <c r="C172" i="2" s="1"/>
  <c r="C179" i="2" s="1"/>
  <c r="C186" i="2" s="1"/>
  <c r="C193" i="2" s="1"/>
  <c r="C200" i="2" s="1"/>
  <c r="C207" i="2" s="1"/>
  <c r="C214" i="2" s="1"/>
  <c r="C221" i="2" s="1"/>
  <c r="C228" i="2" s="1"/>
  <c r="C235" i="2" s="1"/>
  <c r="C242" i="2" s="1"/>
  <c r="C249" i="2" s="1"/>
  <c r="C256" i="2" s="1"/>
  <c r="C263" i="2" s="1"/>
  <c r="C270" i="2" s="1"/>
  <c r="C277" i="2" s="1"/>
  <c r="C284" i="2" s="1"/>
  <c r="C291" i="2" s="1"/>
  <c r="C298" i="2" s="1"/>
  <c r="C17" i="2"/>
  <c r="C24" i="2" s="1"/>
  <c r="C31" i="2" s="1"/>
  <c r="C38" i="2" s="1"/>
  <c r="C45" i="2" s="1"/>
  <c r="C52" i="2" s="1"/>
  <c r="C59" i="2" s="1"/>
  <c r="C66" i="2" s="1"/>
  <c r="C73" i="2" s="1"/>
  <c r="C80" i="2" s="1"/>
  <c r="C87" i="2" s="1"/>
  <c r="C94" i="2" s="1"/>
  <c r="C101" i="2" s="1"/>
  <c r="C108" i="2" s="1"/>
  <c r="C115" i="2" s="1"/>
  <c r="C122" i="2" s="1"/>
  <c r="C129" i="2" s="1"/>
  <c r="C136" i="2" s="1"/>
  <c r="C143" i="2" s="1"/>
  <c r="C150" i="2" s="1"/>
  <c r="C157" i="2" s="1"/>
  <c r="C164" i="2" s="1"/>
  <c r="C171" i="2" s="1"/>
  <c r="C178" i="2" s="1"/>
  <c r="C185" i="2" s="1"/>
  <c r="C192" i="2" s="1"/>
  <c r="C199" i="2" s="1"/>
  <c r="C206" i="2" s="1"/>
  <c r="C213" i="2" s="1"/>
  <c r="C220" i="2" s="1"/>
  <c r="C227" i="2" s="1"/>
  <c r="C234" i="2" s="1"/>
  <c r="C241" i="2" s="1"/>
  <c r="C248" i="2" s="1"/>
  <c r="C255" i="2" s="1"/>
  <c r="C262" i="2" s="1"/>
  <c r="C269" i="2" s="1"/>
  <c r="C276" i="2" s="1"/>
  <c r="C283" i="2" s="1"/>
  <c r="C290" i="2" s="1"/>
  <c r="C297" i="2" s="1"/>
  <c r="C16" i="2"/>
  <c r="C23" i="2" s="1"/>
  <c r="C30" i="2" s="1"/>
  <c r="C37" i="2" s="1"/>
  <c r="C44" i="2" s="1"/>
  <c r="C51" i="2" s="1"/>
  <c r="C58" i="2" s="1"/>
  <c r="C65" i="2" s="1"/>
  <c r="C72" i="2" s="1"/>
  <c r="C79" i="2" s="1"/>
  <c r="C86" i="2" s="1"/>
  <c r="C93" i="2" s="1"/>
  <c r="C100" i="2" s="1"/>
  <c r="C107" i="2" s="1"/>
  <c r="C114" i="2" s="1"/>
  <c r="C121" i="2" s="1"/>
  <c r="C128" i="2" s="1"/>
  <c r="C135" i="2" s="1"/>
  <c r="C142" i="2" s="1"/>
  <c r="C149" i="2" s="1"/>
  <c r="C156" i="2" s="1"/>
  <c r="C163" i="2" s="1"/>
  <c r="C170" i="2" s="1"/>
  <c r="C177" i="2" s="1"/>
  <c r="C184" i="2" s="1"/>
  <c r="C191" i="2" s="1"/>
  <c r="C198" i="2" s="1"/>
  <c r="C205" i="2" s="1"/>
  <c r="C212" i="2" s="1"/>
  <c r="C219" i="2" s="1"/>
  <c r="C226" i="2" s="1"/>
  <c r="C233" i="2" s="1"/>
  <c r="C240" i="2" s="1"/>
  <c r="C247" i="2" s="1"/>
  <c r="C254" i="2" s="1"/>
  <c r="C261" i="2" s="1"/>
  <c r="C268" i="2" s="1"/>
  <c r="C275" i="2" s="1"/>
  <c r="C282" i="2" s="1"/>
  <c r="C289" i="2" s="1"/>
  <c r="C296" i="2" s="1"/>
  <c r="C14" i="2"/>
  <c r="C21" i="2" s="1"/>
  <c r="C28" i="2" s="1"/>
  <c r="C35" i="2" s="1"/>
  <c r="C42" i="2" s="1"/>
  <c r="C49" i="2" s="1"/>
  <c r="C56" i="2" s="1"/>
  <c r="C63" i="2" s="1"/>
  <c r="C70" i="2" s="1"/>
  <c r="C77" i="2" s="1"/>
  <c r="C84" i="2" s="1"/>
  <c r="C91" i="2" s="1"/>
  <c r="C98" i="2" s="1"/>
  <c r="C105" i="2" s="1"/>
  <c r="C112" i="2" s="1"/>
  <c r="C119" i="2" s="1"/>
  <c r="C126" i="2" s="1"/>
  <c r="C133" i="2" s="1"/>
  <c r="C140" i="2" s="1"/>
  <c r="C147" i="2" s="1"/>
  <c r="C154" i="2" s="1"/>
  <c r="C161" i="2" s="1"/>
  <c r="C168" i="2" s="1"/>
  <c r="C175" i="2" s="1"/>
  <c r="C182" i="2" s="1"/>
  <c r="C189" i="2" s="1"/>
  <c r="C196" i="2" s="1"/>
  <c r="C203" i="2" s="1"/>
  <c r="C210" i="2" s="1"/>
  <c r="C217" i="2" s="1"/>
  <c r="C224" i="2" s="1"/>
  <c r="C231" i="2" s="1"/>
  <c r="C238" i="2" s="1"/>
  <c r="C245" i="2" s="1"/>
  <c r="C252" i="2" s="1"/>
  <c r="C259" i="2" s="1"/>
  <c r="C266" i="2" s="1"/>
  <c r="C273" i="2" s="1"/>
  <c r="C280" i="2" s="1"/>
  <c r="C287" i="2" s="1"/>
  <c r="C294" i="2" s="1"/>
  <c r="C301" i="2" s="1"/>
  <c r="C13" i="2"/>
  <c r="C20" i="2" s="1"/>
  <c r="C27" i="2" s="1"/>
  <c r="C34" i="2" s="1"/>
  <c r="C41" i="2" s="1"/>
  <c r="C48" i="2" s="1"/>
  <c r="C55" i="2" s="1"/>
  <c r="C62" i="2" s="1"/>
  <c r="C69" i="2" s="1"/>
  <c r="C76" i="2" s="1"/>
  <c r="C83" i="2" s="1"/>
  <c r="C90" i="2" s="1"/>
  <c r="C97" i="2" s="1"/>
  <c r="C104" i="2" s="1"/>
  <c r="C111" i="2" s="1"/>
  <c r="C118" i="2" s="1"/>
  <c r="C125" i="2" s="1"/>
  <c r="C132" i="2" s="1"/>
  <c r="C139" i="2" s="1"/>
  <c r="C146" i="2" s="1"/>
  <c r="C153" i="2" s="1"/>
  <c r="C160" i="2" s="1"/>
  <c r="C167" i="2" s="1"/>
  <c r="C174" i="2" s="1"/>
  <c r="C181" i="2" s="1"/>
  <c r="C188" i="2" s="1"/>
  <c r="C195" i="2" s="1"/>
  <c r="C202" i="2" s="1"/>
  <c r="C209" i="2" s="1"/>
  <c r="C216" i="2" s="1"/>
  <c r="C223" i="2" s="1"/>
  <c r="C230" i="2" s="1"/>
  <c r="C237" i="2" s="1"/>
  <c r="C244" i="2" s="1"/>
  <c r="C251" i="2" s="1"/>
  <c r="C258" i="2" s="1"/>
  <c r="C265" i="2" s="1"/>
  <c r="C272" i="2" s="1"/>
  <c r="C279" i="2" s="1"/>
  <c r="C286" i="2" s="1"/>
  <c r="C293" i="2" s="1"/>
  <c r="C300" i="2" s="1"/>
  <c r="C12" i="2"/>
  <c r="C19" i="2" s="1"/>
  <c r="C26" i="2" s="1"/>
  <c r="C33" i="2" s="1"/>
  <c r="C40" i="2" s="1"/>
  <c r="C47" i="2" s="1"/>
  <c r="C54" i="2" s="1"/>
  <c r="C61" i="2" s="1"/>
  <c r="C68" i="2" s="1"/>
  <c r="C75" i="2" s="1"/>
  <c r="C82" i="2" s="1"/>
  <c r="C89" i="2" s="1"/>
  <c r="C96" i="2" s="1"/>
  <c r="C103" i="2" s="1"/>
  <c r="C110" i="2" s="1"/>
  <c r="C117" i="2" s="1"/>
  <c r="C124" i="2" s="1"/>
  <c r="C131" i="2" s="1"/>
  <c r="C138" i="2" s="1"/>
  <c r="C145" i="2" s="1"/>
  <c r="C152" i="2" s="1"/>
  <c r="C159" i="2" s="1"/>
  <c r="C166" i="2" s="1"/>
  <c r="C173" i="2" s="1"/>
  <c r="C180" i="2" s="1"/>
  <c r="C187" i="2" s="1"/>
  <c r="C194" i="2" s="1"/>
  <c r="C201" i="2" s="1"/>
  <c r="C208" i="2" s="1"/>
  <c r="C215" i="2" s="1"/>
  <c r="C222" i="2" s="1"/>
  <c r="C229" i="2" s="1"/>
  <c r="C236" i="2" s="1"/>
  <c r="C243" i="2" s="1"/>
  <c r="C250" i="2" s="1"/>
  <c r="C257" i="2" s="1"/>
  <c r="C264" i="2" s="1"/>
  <c r="C271" i="2" s="1"/>
  <c r="C278" i="2" s="1"/>
  <c r="C285" i="2" s="1"/>
  <c r="C292" i="2" s="1"/>
  <c r="C299" i="2" s="1"/>
  <c r="C11" i="2"/>
  <c r="C10" i="2"/>
  <c r="C9" i="2"/>
  <c r="C8" i="2"/>
  <c r="C15" i="2" s="1"/>
  <c r="C22" i="2" s="1"/>
  <c r="C29" i="2" s="1"/>
  <c r="C36" i="2" s="1"/>
  <c r="C43" i="2" s="1"/>
  <c r="C50" i="2" s="1"/>
  <c r="C57" i="2" s="1"/>
  <c r="C64" i="2" s="1"/>
  <c r="C71" i="2" s="1"/>
  <c r="C78" i="2" s="1"/>
  <c r="C85" i="2" s="1"/>
  <c r="C92" i="2" s="1"/>
  <c r="C99" i="2" s="1"/>
  <c r="C106" i="2" s="1"/>
  <c r="C113" i="2" s="1"/>
  <c r="C120" i="2" s="1"/>
  <c r="C127" i="2" s="1"/>
  <c r="C134" i="2" s="1"/>
  <c r="C141" i="2" s="1"/>
  <c r="C148" i="2" s="1"/>
  <c r="C155" i="2" s="1"/>
  <c r="C162" i="2" s="1"/>
  <c r="C169" i="2" s="1"/>
  <c r="C176" i="2" s="1"/>
  <c r="C183" i="2" s="1"/>
  <c r="C190" i="2" s="1"/>
  <c r="C197" i="2" s="1"/>
  <c r="C204" i="2" s="1"/>
  <c r="C211" i="2" s="1"/>
  <c r="C218" i="2" s="1"/>
  <c r="C225" i="2" s="1"/>
  <c r="C232" i="2" s="1"/>
  <c r="C239" i="2" s="1"/>
  <c r="C246" i="2" s="1"/>
  <c r="C253" i="2" s="1"/>
  <c r="C260" i="2" s="1"/>
  <c r="C267" i="2" s="1"/>
  <c r="C274" i="2" s="1"/>
  <c r="C281" i="2" s="1"/>
  <c r="C288" i="2" s="1"/>
  <c r="C295" i="2" s="1"/>
  <c r="AJ61" i="1" l="1"/>
  <c r="J35" i="1"/>
  <c r="AF13" i="1"/>
  <c r="C48" i="6"/>
  <c r="AJ27" i="1"/>
  <c r="AJ111" i="1"/>
  <c r="AJ58" i="1"/>
  <c r="AJ43" i="1"/>
  <c r="AJ20" i="1"/>
  <c r="AJ83" i="1"/>
  <c r="AJ105" i="1"/>
  <c r="AJ74" i="1"/>
  <c r="AJ39" i="1"/>
  <c r="AJ88" i="1"/>
  <c r="AJ18" i="1"/>
  <c r="AJ117" i="1"/>
  <c r="AJ96" i="1"/>
  <c r="AJ49" i="1"/>
  <c r="AJ121" i="1"/>
  <c r="AJ62" i="1"/>
  <c r="AJ64" i="1"/>
  <c r="AJ29" i="1"/>
  <c r="AJ102" i="1"/>
  <c r="AJ84" i="1"/>
  <c r="AJ82" i="1"/>
  <c r="AJ106" i="1"/>
  <c r="AJ41" i="1"/>
  <c r="AJ114" i="1"/>
  <c r="AJ67" i="1"/>
  <c r="AJ44" i="1"/>
  <c r="AJ21" i="1"/>
  <c r="AJ73" i="1"/>
  <c r="AJ86" i="1"/>
  <c r="AJ51" i="1"/>
  <c r="AJ100" i="1"/>
  <c r="AJ30" i="1"/>
  <c r="AJ46" i="1"/>
  <c r="AJ23" i="1"/>
  <c r="AJ16" i="1"/>
  <c r="AJ53" i="1"/>
  <c r="AJ79" i="1"/>
  <c r="AJ68" i="1"/>
  <c r="AJ45" i="1"/>
  <c r="AJ24" i="1"/>
  <c r="AJ108" i="1"/>
  <c r="AJ85" i="1"/>
  <c r="AJ22" i="1"/>
  <c r="AJ63" i="1"/>
  <c r="AJ48" i="1"/>
  <c r="AJ120" i="1"/>
  <c r="K35" i="1"/>
  <c r="L35" i="1"/>
  <c r="AH35" i="1" s="1"/>
  <c r="M35" i="1"/>
  <c r="AI35" i="1" s="1"/>
  <c r="AJ35" i="1" s="1"/>
  <c r="AJ26" i="1"/>
  <c r="AJ28" i="1"/>
  <c r="AJ112" i="1"/>
  <c r="AJ65" i="1"/>
  <c r="AJ42" i="1"/>
  <c r="AJ71" i="1"/>
  <c r="AJ91" i="1"/>
  <c r="AJ80" i="1"/>
  <c r="AJ69" i="1"/>
  <c r="AJ97" i="1"/>
  <c r="AJ38" i="1"/>
  <c r="AJ59" i="1"/>
  <c r="AJ75" i="1"/>
  <c r="AJ40" i="1"/>
  <c r="AJ19" i="1"/>
  <c r="AJ115" i="1"/>
  <c r="AJ60" i="1"/>
  <c r="AJ25" i="1"/>
  <c r="AJ70" i="1"/>
  <c r="AJ89" i="1"/>
  <c r="AJ66" i="1"/>
  <c r="AJ92" i="1"/>
  <c r="AJ81" i="1"/>
  <c r="AJ94" i="1"/>
  <c r="AJ37" i="1"/>
  <c r="AJ50" i="1"/>
  <c r="AJ87" i="1"/>
  <c r="AJ101" i="1"/>
  <c r="AJ90" i="1"/>
  <c r="AJ47" i="1"/>
  <c r="AJ118" i="1"/>
  <c r="AJ72" i="1"/>
  <c r="AJ95" i="1"/>
  <c r="AJ109" i="1"/>
  <c r="AJ15" i="1"/>
  <c r="AJ52" i="1"/>
  <c r="AJ17" i="1"/>
  <c r="AJ31" i="1"/>
  <c r="AJ93" i="1"/>
  <c r="W73" i="1"/>
  <c r="AG73" i="1"/>
  <c r="AE73" i="1"/>
  <c r="V109" i="1"/>
  <c r="AE109" i="1"/>
  <c r="AG109" i="1"/>
  <c r="V80" i="1"/>
  <c r="AG80" i="1"/>
  <c r="AE80" i="1"/>
  <c r="V101" i="1"/>
  <c r="AE101" i="1"/>
  <c r="AG101" i="1"/>
  <c r="W15" i="1"/>
  <c r="AG15" i="1"/>
  <c r="AE15" i="1"/>
  <c r="W27" i="1"/>
  <c r="AG27" i="1"/>
  <c r="AE27" i="1"/>
  <c r="W41" i="1"/>
  <c r="AG41" i="1"/>
  <c r="AE41" i="1"/>
  <c r="W55" i="1"/>
  <c r="AG55" i="1"/>
  <c r="AE55" i="1"/>
  <c r="V67" i="1"/>
  <c r="AG67" i="1"/>
  <c r="AE67" i="1"/>
  <c r="V81" i="1"/>
  <c r="AE81" i="1"/>
  <c r="AG81" i="1"/>
  <c r="V93" i="1"/>
  <c r="AG93" i="1"/>
  <c r="AE93" i="1"/>
  <c r="V112" i="1"/>
  <c r="AG112" i="1"/>
  <c r="AE112" i="1"/>
  <c r="W25" i="1"/>
  <c r="AE25" i="1"/>
  <c r="AG25" i="1"/>
  <c r="W66" i="1"/>
  <c r="AG66" i="1"/>
  <c r="AE66" i="1"/>
  <c r="V114" i="1"/>
  <c r="AG114" i="1"/>
  <c r="AE114" i="1"/>
  <c r="V65" i="1"/>
  <c r="AG65" i="1"/>
  <c r="AE65" i="1"/>
  <c r="W40" i="1"/>
  <c r="AG40" i="1"/>
  <c r="AE40" i="1"/>
  <c r="V111" i="1"/>
  <c r="AG111" i="1"/>
  <c r="AE111" i="1"/>
  <c r="W16" i="1"/>
  <c r="AG16" i="1"/>
  <c r="AE16" i="1"/>
  <c r="W42" i="1"/>
  <c r="AG42" i="1"/>
  <c r="AE42" i="1"/>
  <c r="V68" i="1"/>
  <c r="AG68" i="1"/>
  <c r="AE68" i="1"/>
  <c r="V94" i="1"/>
  <c r="AG94" i="1"/>
  <c r="AE94" i="1"/>
  <c r="W17" i="1"/>
  <c r="AG17" i="1"/>
  <c r="AE17" i="1"/>
  <c r="W30" i="1"/>
  <c r="AE30" i="1"/>
  <c r="AG30" i="1"/>
  <c r="W43" i="1"/>
  <c r="AE43" i="1"/>
  <c r="AG43" i="1"/>
  <c r="W57" i="1"/>
  <c r="AG57" i="1"/>
  <c r="AE57" i="1"/>
  <c r="W69" i="1"/>
  <c r="AG69" i="1"/>
  <c r="AE69" i="1"/>
  <c r="V83" i="1"/>
  <c r="AG83" i="1"/>
  <c r="AE83" i="1"/>
  <c r="V96" i="1"/>
  <c r="AG96" i="1"/>
  <c r="AE96" i="1"/>
  <c r="V115" i="1"/>
  <c r="AG115" i="1"/>
  <c r="AE115" i="1"/>
  <c r="W13" i="1"/>
  <c r="AE13" i="1"/>
  <c r="AG13" i="1"/>
  <c r="W92" i="1"/>
  <c r="AG92" i="1"/>
  <c r="AE92" i="1"/>
  <c r="W28" i="1"/>
  <c r="AG28" i="1"/>
  <c r="AE28" i="1"/>
  <c r="W56" i="1"/>
  <c r="AG56" i="1"/>
  <c r="AE56" i="1"/>
  <c r="V82" i="1"/>
  <c r="AG82" i="1"/>
  <c r="AE82" i="1"/>
  <c r="W18" i="1"/>
  <c r="AE18" i="1"/>
  <c r="AG18" i="1"/>
  <c r="V31" i="1"/>
  <c r="AG31" i="1"/>
  <c r="AE31" i="1"/>
  <c r="W44" i="1"/>
  <c r="AG44" i="1"/>
  <c r="AE44" i="1"/>
  <c r="W58" i="1"/>
  <c r="AG58" i="1"/>
  <c r="AE58" i="1"/>
  <c r="W70" i="1"/>
  <c r="AG70" i="1"/>
  <c r="AE70" i="1"/>
  <c r="W84" i="1"/>
  <c r="AG84" i="1"/>
  <c r="AE84" i="1"/>
  <c r="V97" i="1"/>
  <c r="AG97" i="1"/>
  <c r="AE97" i="1"/>
  <c r="V117" i="1"/>
  <c r="AG117" i="1"/>
  <c r="AE117" i="1"/>
  <c r="V79" i="1"/>
  <c r="AG79" i="1"/>
  <c r="AE79" i="1"/>
  <c r="W71" i="1"/>
  <c r="AG71" i="1"/>
  <c r="AE71" i="1"/>
  <c r="V91" i="1"/>
  <c r="AG91" i="1"/>
  <c r="AE91" i="1"/>
  <c r="V26" i="1"/>
  <c r="AE26" i="1"/>
  <c r="AG26" i="1"/>
  <c r="V19" i="1"/>
  <c r="AG19" i="1"/>
  <c r="AE19" i="1"/>
  <c r="W45" i="1"/>
  <c r="AG45" i="1"/>
  <c r="AE45" i="1"/>
  <c r="W85" i="1"/>
  <c r="AG85" i="1"/>
  <c r="AE85" i="1"/>
  <c r="W99" i="1"/>
  <c r="AG99" i="1"/>
  <c r="AE99" i="1"/>
  <c r="W7" i="1"/>
  <c r="AG7" i="1"/>
  <c r="AE7" i="1"/>
  <c r="W20" i="1"/>
  <c r="AG20" i="1"/>
  <c r="AE20" i="1"/>
  <c r="V34" i="1"/>
  <c r="AG34" i="1"/>
  <c r="AE34" i="1"/>
  <c r="W46" i="1"/>
  <c r="AG46" i="1"/>
  <c r="AE46" i="1"/>
  <c r="W60" i="1"/>
  <c r="AG60" i="1"/>
  <c r="AE60" i="1"/>
  <c r="W72" i="1"/>
  <c r="AG72" i="1"/>
  <c r="AE72" i="1"/>
  <c r="V86" i="1"/>
  <c r="AG86" i="1"/>
  <c r="AE86" i="1"/>
  <c r="V100" i="1"/>
  <c r="AE100" i="1"/>
  <c r="AG100" i="1"/>
  <c r="W120" i="1"/>
  <c r="AE120" i="1"/>
  <c r="AG120" i="1"/>
  <c r="V14" i="1"/>
  <c r="AE14" i="1"/>
  <c r="AG14" i="1"/>
  <c r="W53" i="1"/>
  <c r="AG53" i="1"/>
  <c r="AE53" i="1"/>
  <c r="V6" i="1"/>
  <c r="AG6" i="1"/>
  <c r="AE6" i="1"/>
  <c r="W33" i="1"/>
  <c r="AG33" i="1"/>
  <c r="AE33" i="1"/>
  <c r="W59" i="1"/>
  <c r="AG59" i="1"/>
  <c r="AE59" i="1"/>
  <c r="V118" i="1"/>
  <c r="AE118" i="1"/>
  <c r="AG118" i="1"/>
  <c r="W8" i="1"/>
  <c r="AG8" i="1"/>
  <c r="AE8" i="1"/>
  <c r="W21" i="1"/>
  <c r="AG21" i="1"/>
  <c r="AE21" i="1"/>
  <c r="W35" i="1"/>
  <c r="AG35" i="1"/>
  <c r="AE35" i="1"/>
  <c r="V47" i="1"/>
  <c r="AG47" i="1"/>
  <c r="AE47" i="1"/>
  <c r="V61" i="1"/>
  <c r="AG61" i="1"/>
  <c r="AE61" i="1"/>
  <c r="W74" i="1"/>
  <c r="AE74" i="1"/>
  <c r="AG74" i="1"/>
  <c r="V87" i="1"/>
  <c r="AE87" i="1"/>
  <c r="AG87" i="1"/>
  <c r="V102" i="1"/>
  <c r="AE102" i="1"/>
  <c r="AG102" i="1"/>
  <c r="V121" i="1"/>
  <c r="AE121" i="1"/>
  <c r="AG121" i="1"/>
  <c r="V9" i="1"/>
  <c r="AG9" i="1"/>
  <c r="AE9" i="1"/>
  <c r="W29" i="1"/>
  <c r="AG29" i="1"/>
  <c r="AE29" i="1"/>
  <c r="W39" i="1"/>
  <c r="AE39" i="1"/>
  <c r="AG39" i="1"/>
  <c r="V36" i="1"/>
  <c r="AG36" i="1"/>
  <c r="AE36" i="1"/>
  <c r="W62" i="1"/>
  <c r="AE62" i="1"/>
  <c r="AG62" i="1"/>
  <c r="W105" i="1"/>
  <c r="AG105" i="1"/>
  <c r="AE105" i="1"/>
  <c r="V11" i="1"/>
  <c r="AG11" i="1"/>
  <c r="AE11" i="1"/>
  <c r="V23" i="1"/>
  <c r="AG23" i="1"/>
  <c r="AE23" i="1"/>
  <c r="V37" i="1"/>
  <c r="AE37" i="1"/>
  <c r="AG37" i="1"/>
  <c r="V49" i="1"/>
  <c r="AE49" i="1"/>
  <c r="AG49" i="1"/>
  <c r="W63" i="1"/>
  <c r="AE63" i="1"/>
  <c r="AG63" i="1"/>
  <c r="W77" i="1"/>
  <c r="AE77" i="1"/>
  <c r="AG77" i="1"/>
  <c r="W89" i="1"/>
  <c r="AE89" i="1"/>
  <c r="AG89" i="1"/>
  <c r="V106" i="1"/>
  <c r="AG106" i="1"/>
  <c r="AE106" i="1"/>
  <c r="W51" i="1"/>
  <c r="AE51" i="1"/>
  <c r="AG51" i="1"/>
  <c r="W52" i="1"/>
  <c r="AG52" i="1"/>
  <c r="AE52" i="1"/>
  <c r="V22" i="1"/>
  <c r="AG22" i="1"/>
  <c r="AE22" i="1"/>
  <c r="W48" i="1"/>
  <c r="AG48" i="1"/>
  <c r="AE48" i="1"/>
  <c r="W75" i="1"/>
  <c r="AE75" i="1"/>
  <c r="AG75" i="1"/>
  <c r="V88" i="1"/>
  <c r="AE88" i="1"/>
  <c r="AG88" i="1"/>
  <c r="W12" i="1"/>
  <c r="AE12" i="1"/>
  <c r="AG12" i="1"/>
  <c r="V24" i="1"/>
  <c r="AE24" i="1"/>
  <c r="AG24" i="1"/>
  <c r="V38" i="1"/>
  <c r="AE38" i="1"/>
  <c r="AG38" i="1"/>
  <c r="V50" i="1"/>
  <c r="AE50" i="1"/>
  <c r="AG50" i="1"/>
  <c r="V64" i="1"/>
  <c r="AE64" i="1"/>
  <c r="AG64" i="1"/>
  <c r="V78" i="1"/>
  <c r="AG78" i="1"/>
  <c r="AE78" i="1"/>
  <c r="V90" i="1"/>
  <c r="AG90" i="1"/>
  <c r="AE90" i="1"/>
  <c r="V108" i="1"/>
  <c r="AG108" i="1"/>
  <c r="AE108" i="1"/>
  <c r="W95" i="1"/>
  <c r="AG95" i="1"/>
  <c r="AE95" i="1"/>
  <c r="W5" i="1"/>
  <c r="AG5" i="1"/>
  <c r="V92" i="1"/>
  <c r="V18" i="1"/>
  <c r="V33" i="1"/>
  <c r="W111" i="1"/>
  <c r="W14" i="1"/>
  <c r="W108" i="1"/>
  <c r="V62" i="1"/>
  <c r="W78" i="1"/>
  <c r="W19" i="1"/>
  <c r="V89" i="1"/>
  <c r="W102" i="1"/>
  <c r="W37" i="1"/>
  <c r="V52" i="1"/>
  <c r="W47" i="1"/>
  <c r="V27" i="1"/>
  <c r="V74" i="1"/>
  <c r="W31" i="1"/>
  <c r="W9" i="1"/>
  <c r="V5" i="1"/>
  <c r="W87" i="1"/>
  <c r="V73" i="1"/>
  <c r="V46" i="1"/>
  <c r="W26" i="1"/>
  <c r="V51" i="1"/>
  <c r="V48" i="1"/>
  <c r="W90" i="1"/>
  <c r="V77" i="1"/>
  <c r="W49" i="1"/>
  <c r="W88" i="1"/>
  <c r="V15" i="1"/>
  <c r="W6" i="1"/>
  <c r="V25" i="1"/>
  <c r="V66" i="1"/>
  <c r="V45" i="1"/>
  <c r="W93" i="1"/>
  <c r="V72" i="1"/>
  <c r="V8" i="1"/>
  <c r="W91" i="1"/>
  <c r="V75" i="1"/>
  <c r="W64" i="1"/>
  <c r="V105" i="1"/>
  <c r="W23" i="1"/>
  <c r="W61" i="1"/>
  <c r="V41" i="1"/>
  <c r="V16" i="1"/>
  <c r="V17" i="1"/>
  <c r="V95" i="1"/>
  <c r="V44" i="1"/>
  <c r="W112" i="1"/>
  <c r="V59" i="1"/>
  <c r="W81" i="1"/>
  <c r="V13" i="1"/>
  <c r="V21" i="1"/>
  <c r="W79" i="1"/>
  <c r="W50" i="1"/>
  <c r="W121" i="1"/>
  <c r="W11" i="1"/>
  <c r="W118" i="1"/>
  <c r="V55" i="1"/>
  <c r="V28" i="1"/>
  <c r="V53" i="1"/>
  <c r="V30" i="1"/>
  <c r="W114" i="1"/>
  <c r="V58" i="1"/>
  <c r="W94" i="1"/>
  <c r="V71" i="1"/>
  <c r="W67" i="1"/>
  <c r="V40" i="1"/>
  <c r="V35" i="1"/>
  <c r="W65" i="1"/>
  <c r="W38" i="1"/>
  <c r="V39" i="1"/>
  <c r="V12" i="1"/>
  <c r="W100" i="1"/>
  <c r="V60" i="1"/>
  <c r="V42" i="1"/>
  <c r="V43" i="1"/>
  <c r="W96" i="1"/>
  <c r="V70" i="1"/>
  <c r="W82" i="1"/>
  <c r="V85" i="1"/>
  <c r="W24" i="1"/>
  <c r="W101" i="1"/>
  <c r="W86" i="1"/>
  <c r="W117" i="1"/>
  <c r="V56" i="1"/>
  <c r="W115" i="1"/>
  <c r="V57" i="1"/>
  <c r="W83" i="1"/>
  <c r="V84" i="1"/>
  <c r="W68" i="1"/>
  <c r="V99" i="1"/>
  <c r="W109" i="1"/>
  <c r="W97" i="1"/>
  <c r="V69" i="1"/>
  <c r="V29" i="1"/>
  <c r="W80" i="1"/>
  <c r="V120" i="1"/>
  <c r="V7" i="1"/>
  <c r="W34" i="1"/>
  <c r="W36" i="1"/>
  <c r="W22" i="1"/>
  <c r="V20" i="1"/>
  <c r="W106" i="1"/>
  <c r="V63" i="1"/>
  <c r="E11" i="10"/>
  <c r="F10" i="10"/>
  <c r="W7" i="10"/>
  <c r="E41" i="6"/>
  <c r="E10" i="6"/>
  <c r="E13" i="6"/>
  <c r="D3" i="6"/>
  <c r="E3" i="6"/>
  <c r="S99" i="1"/>
  <c r="R63" i="1"/>
  <c r="S38" i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R60" i="1"/>
  <c r="S35" i="1"/>
  <c r="R11" i="1"/>
  <c r="S58" i="1"/>
  <c r="R106" i="1"/>
  <c r="R34" i="1"/>
  <c r="S81" i="1"/>
  <c r="S9" i="1"/>
  <c r="R57" i="1"/>
  <c r="R80" i="1"/>
  <c r="R32" i="1"/>
  <c r="R8" i="1"/>
  <c r="S55" i="1"/>
  <c r="S7" i="1"/>
  <c r="R103" i="1"/>
  <c r="R7" i="1"/>
  <c r="S78" i="1"/>
  <c r="S6" i="1"/>
  <c r="R78" i="1"/>
  <c r="R54" i="1"/>
  <c r="R6" i="1"/>
  <c r="S101" i="1"/>
  <c r="S5" i="1"/>
  <c r="R77" i="1"/>
  <c r="S112" i="1"/>
  <c r="S40" i="1"/>
  <c r="E42" i="6" l="1"/>
  <c r="I18" i="6"/>
  <c r="I19" i="6"/>
  <c r="M36" i="6"/>
  <c r="I5" i="6"/>
  <c r="M19" i="6"/>
  <c r="M29" i="6"/>
  <c r="I12" i="6"/>
  <c r="I10" i="6"/>
  <c r="M38" i="6"/>
  <c r="I16" i="6"/>
  <c r="I4" i="6"/>
  <c r="I6" i="6"/>
  <c r="I14" i="6"/>
  <c r="J5" i="6"/>
  <c r="M34" i="6"/>
  <c r="M44" i="6"/>
  <c r="M42" i="6"/>
  <c r="I8" i="6"/>
  <c r="M26" i="6"/>
  <c r="J4" i="6"/>
  <c r="M22" i="6"/>
  <c r="M32" i="6"/>
  <c r="M30" i="6"/>
  <c r="M28" i="6"/>
  <c r="M20" i="6"/>
  <c r="I7" i="6"/>
  <c r="I11" i="6"/>
  <c r="M39" i="6"/>
  <c r="I15" i="6"/>
  <c r="M23" i="6"/>
  <c r="M24" i="6"/>
  <c r="M37" i="6"/>
  <c r="M27" i="6"/>
  <c r="M25" i="6"/>
  <c r="I13" i="6"/>
  <c r="M35" i="6"/>
  <c r="M33" i="6"/>
  <c r="M21" i="6"/>
  <c r="M43" i="6"/>
  <c r="I9" i="6"/>
  <c r="I3" i="6"/>
  <c r="I17" i="6"/>
  <c r="M31" i="6"/>
  <c r="M41" i="6"/>
  <c r="M40" i="6"/>
  <c r="J6" i="6"/>
  <c r="J3" i="6"/>
  <c r="J7" i="6"/>
  <c r="J8" i="6"/>
  <c r="J9" i="6"/>
  <c r="J10" i="6"/>
  <c r="J11" i="6"/>
  <c r="J12" i="6"/>
  <c r="J13" i="6"/>
  <c r="J14" i="6"/>
  <c r="J15" i="6"/>
  <c r="J16" i="6"/>
  <c r="J17" i="6"/>
  <c r="J18" i="6"/>
  <c r="N19" i="6"/>
  <c r="J19" i="6"/>
  <c r="N20" i="6"/>
  <c r="N21" i="6"/>
  <c r="N22" i="6"/>
  <c r="N23" i="6"/>
  <c r="N24" i="6"/>
  <c r="N25" i="6"/>
  <c r="N26" i="6"/>
  <c r="N27" i="6"/>
  <c r="L28" i="6" s="1"/>
  <c r="N28" i="6" s="1"/>
  <c r="L29" i="6" s="1"/>
  <c r="N29" i="6" s="1"/>
  <c r="L30" i="6" s="1"/>
  <c r="N30" i="6" s="1"/>
  <c r="L31" i="6" s="1"/>
  <c r="N31" i="6" s="1"/>
  <c r="L32" i="6" s="1"/>
  <c r="N32" i="6" s="1"/>
  <c r="L33" i="6" s="1"/>
  <c r="N33" i="6" s="1"/>
  <c r="L34" i="6" s="1"/>
  <c r="N34" i="6" s="1"/>
  <c r="L35" i="6" s="1"/>
  <c r="N35" i="6" s="1"/>
  <c r="L36" i="6" s="1"/>
  <c r="N36" i="6" s="1"/>
  <c r="L37" i="6" s="1"/>
  <c r="N37" i="6" s="1"/>
  <c r="L38" i="6" s="1"/>
  <c r="N38" i="6" s="1"/>
  <c r="L39" i="6" s="1"/>
  <c r="N39" i="6" s="1"/>
  <c r="L40" i="6" s="1"/>
  <c r="N40" i="6" s="1"/>
  <c r="L41" i="6" s="1"/>
  <c r="N41" i="6" s="1"/>
  <c r="L42" i="6" s="1"/>
  <c r="N42" i="6" s="1"/>
  <c r="L43" i="6" s="1"/>
  <c r="N43" i="6" s="1"/>
  <c r="L44" i="6" s="1"/>
  <c r="N44" i="6" s="1"/>
  <c r="J57" i="1"/>
  <c r="M57" i="1" s="1"/>
  <c r="AI57" i="1" s="1"/>
  <c r="AJ57" i="1" s="1"/>
  <c r="AF35" i="1"/>
  <c r="E15" i="6"/>
  <c r="E23" i="6"/>
  <c r="E9" i="6"/>
  <c r="E35" i="6"/>
  <c r="E38" i="6"/>
  <c r="E11" i="6"/>
  <c r="E4" i="6"/>
  <c r="E16" i="6"/>
  <c r="E21" i="6"/>
  <c r="E26" i="6"/>
  <c r="E31" i="6"/>
  <c r="E32" i="6"/>
  <c r="E24" i="6"/>
  <c r="E39" i="6"/>
  <c r="E27" i="6"/>
  <c r="E36" i="6"/>
  <c r="E7" i="6"/>
  <c r="E8" i="6"/>
  <c r="E43" i="6"/>
  <c r="E44" i="6"/>
  <c r="E20" i="6"/>
  <c r="E28" i="6"/>
  <c r="E5" i="6"/>
  <c r="E30" i="6"/>
  <c r="F3" i="6"/>
  <c r="E33" i="6"/>
  <c r="E19" i="6"/>
  <c r="E37" i="6"/>
  <c r="E34" i="6"/>
  <c r="E17" i="6"/>
  <c r="E12" i="6"/>
  <c r="E14" i="6"/>
  <c r="E25" i="6"/>
  <c r="E22" i="6"/>
  <c r="E40" i="6"/>
  <c r="F11" i="10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W10" i="10"/>
  <c r="E18" i="6"/>
  <c r="E6" i="6"/>
  <c r="E29" i="6"/>
  <c r="D4" i="6"/>
  <c r="R17" i="1"/>
  <c r="S41" i="1"/>
  <c r="R66" i="1"/>
  <c r="S90" i="1"/>
  <c r="R115" i="1"/>
  <c r="R20" i="1"/>
  <c r="S44" i="1"/>
  <c r="R69" i="1"/>
  <c r="S93" i="1"/>
  <c r="R118" i="1"/>
  <c r="R23" i="1"/>
  <c r="S47" i="1"/>
  <c r="R72" i="1"/>
  <c r="S84" i="1"/>
  <c r="R109" i="1"/>
  <c r="R14" i="1"/>
  <c r="S50" i="1"/>
  <c r="R75" i="1"/>
  <c r="S111" i="1"/>
  <c r="R97" i="1"/>
  <c r="R29" i="1"/>
  <c r="S53" i="1"/>
  <c r="S102" i="1"/>
  <c r="S56" i="1"/>
  <c r="R81" i="1"/>
  <c r="S105" i="1"/>
  <c r="S10" i="1"/>
  <c r="R35" i="1"/>
  <c r="S59" i="1"/>
  <c r="R84" i="1"/>
  <c r="S96" i="1"/>
  <c r="R121" i="1"/>
  <c r="R26" i="1"/>
  <c r="S62" i="1"/>
  <c r="R87" i="1"/>
  <c r="R16" i="1"/>
  <c r="R41" i="1"/>
  <c r="S65" i="1"/>
  <c r="R90" i="1"/>
  <c r="S114" i="1"/>
  <c r="S19" i="1"/>
  <c r="R44" i="1"/>
  <c r="S68" i="1"/>
  <c r="R93" i="1"/>
  <c r="S117" i="1"/>
  <c r="S22" i="1"/>
  <c r="R47" i="1"/>
  <c r="S71" i="1"/>
  <c r="R96" i="1"/>
  <c r="S108" i="1"/>
  <c r="S13" i="1"/>
  <c r="R38" i="1"/>
  <c r="S74" i="1"/>
  <c r="R99" i="1"/>
  <c r="R28" i="1"/>
  <c r="S121" i="1"/>
  <c r="S16" i="1"/>
  <c r="R53" i="1"/>
  <c r="S77" i="1"/>
  <c r="R102" i="1"/>
  <c r="S31" i="1"/>
  <c r="R56" i="1"/>
  <c r="S80" i="1"/>
  <c r="R105" i="1"/>
  <c r="R10" i="1"/>
  <c r="S34" i="1"/>
  <c r="R59" i="1"/>
  <c r="S83" i="1"/>
  <c r="R108" i="1"/>
  <c r="S120" i="1"/>
  <c r="S25" i="1"/>
  <c r="R50" i="1"/>
  <c r="S86" i="1"/>
  <c r="R111" i="1"/>
  <c r="R40" i="1"/>
  <c r="S28" i="1"/>
  <c r="R65" i="1"/>
  <c r="S89" i="1"/>
  <c r="R114" i="1"/>
  <c r="R19" i="1"/>
  <c r="S43" i="1"/>
  <c r="R68" i="1"/>
  <c r="S92" i="1"/>
  <c r="R117" i="1"/>
  <c r="R22" i="1"/>
  <c r="S46" i="1"/>
  <c r="R71" i="1"/>
  <c r="S95" i="1"/>
  <c r="R120" i="1"/>
  <c r="R13" i="1"/>
  <c r="S37" i="1"/>
  <c r="R62" i="1"/>
  <c r="S98" i="1"/>
  <c r="S15" i="1"/>
  <c r="R52" i="1"/>
  <c r="R25" i="1"/>
  <c r="S49" i="1"/>
  <c r="R74" i="1"/>
  <c r="S110" i="1"/>
  <c r="S27" i="1"/>
  <c r="R64" i="1"/>
  <c r="R31" i="1"/>
  <c r="S52" i="1"/>
  <c r="R89" i="1"/>
  <c r="S113" i="1"/>
  <c r="S18" i="1"/>
  <c r="R43" i="1"/>
  <c r="S67" i="1"/>
  <c r="R92" i="1"/>
  <c r="S116" i="1"/>
  <c r="S21" i="1"/>
  <c r="R46" i="1"/>
  <c r="S70" i="1"/>
  <c r="R95" i="1"/>
  <c r="S119" i="1"/>
  <c r="S12" i="1"/>
  <c r="R37" i="1"/>
  <c r="S61" i="1"/>
  <c r="R86" i="1"/>
  <c r="S3" i="1"/>
  <c r="S39" i="1"/>
  <c r="R76" i="1"/>
  <c r="R83" i="1"/>
  <c r="S64" i="1"/>
  <c r="R101" i="1"/>
  <c r="S30" i="1"/>
  <c r="R55" i="1"/>
  <c r="S79" i="1"/>
  <c r="R104" i="1"/>
  <c r="R9" i="1"/>
  <c r="S33" i="1"/>
  <c r="R58" i="1"/>
  <c r="S82" i="1"/>
  <c r="R107" i="1"/>
  <c r="R12" i="1"/>
  <c r="S24" i="1"/>
  <c r="R49" i="1"/>
  <c r="S73" i="1"/>
  <c r="R98" i="1"/>
  <c r="R15" i="1"/>
  <c r="S51" i="1"/>
  <c r="R88" i="1"/>
  <c r="S29" i="1"/>
  <c r="S107" i="1"/>
  <c r="S76" i="1"/>
  <c r="R113" i="1"/>
  <c r="R18" i="1"/>
  <c r="S42" i="1"/>
  <c r="R67" i="1"/>
  <c r="S91" i="1"/>
  <c r="R116" i="1"/>
  <c r="R21" i="1"/>
  <c r="S45" i="1"/>
  <c r="R70" i="1"/>
  <c r="S94" i="1"/>
  <c r="R119" i="1"/>
  <c r="R24" i="1"/>
  <c r="S36" i="1"/>
  <c r="R61" i="1"/>
  <c r="S85" i="1"/>
  <c r="R110" i="1"/>
  <c r="R27" i="1"/>
  <c r="S63" i="1"/>
  <c r="R100" i="1"/>
  <c r="S72" i="1"/>
  <c r="S104" i="1"/>
  <c r="S88" i="1"/>
  <c r="R30" i="1"/>
  <c r="S54" i="1"/>
  <c r="R79" i="1"/>
  <c r="S103" i="1"/>
  <c r="S8" i="1"/>
  <c r="R33" i="1"/>
  <c r="S57" i="1"/>
  <c r="R82" i="1"/>
  <c r="S106" i="1"/>
  <c r="S11" i="1"/>
  <c r="R36" i="1"/>
  <c r="S48" i="1"/>
  <c r="R73" i="1"/>
  <c r="S97" i="1"/>
  <c r="S14" i="1"/>
  <c r="R39" i="1"/>
  <c r="S75" i="1"/>
  <c r="R112" i="1"/>
  <c r="S32" i="1"/>
  <c r="S100" i="1"/>
  <c r="S17" i="1"/>
  <c r="R42" i="1"/>
  <c r="S66" i="1"/>
  <c r="R91" i="1"/>
  <c r="S115" i="1"/>
  <c r="S20" i="1"/>
  <c r="R45" i="1"/>
  <c r="S69" i="1"/>
  <c r="R94" i="1"/>
  <c r="S118" i="1"/>
  <c r="S23" i="1"/>
  <c r="R48" i="1"/>
  <c r="S60" i="1"/>
  <c r="R85" i="1"/>
  <c r="S109" i="1"/>
  <c r="S26" i="1"/>
  <c r="R51" i="1"/>
  <c r="S87" i="1"/>
  <c r="S4" i="1"/>
  <c r="K57" i="1" l="1"/>
  <c r="AF57" i="1" s="1"/>
  <c r="L57" i="1"/>
  <c r="AH57" i="1" s="1"/>
  <c r="F4" i="6"/>
  <c r="D5" i="6"/>
  <c r="F5" i="6" l="1"/>
  <c r="D6" i="6"/>
  <c r="F6" i="6" l="1"/>
  <c r="D7" i="6"/>
  <c r="F7" i="6" l="1"/>
  <c r="D8" i="6"/>
  <c r="F8" i="6" l="1"/>
  <c r="D9" i="6"/>
  <c r="F9" i="6" l="1"/>
  <c r="D10" i="6"/>
  <c r="F10" i="6" l="1"/>
  <c r="D11" i="6"/>
  <c r="F11" i="6" l="1"/>
  <c r="D12" i="6"/>
  <c r="F12" i="6" l="1"/>
  <c r="D13" i="6"/>
  <c r="F13" i="6" l="1"/>
  <c r="D14" i="6"/>
  <c r="F14" i="6" l="1"/>
  <c r="D15" i="6"/>
  <c r="F15" i="6" l="1"/>
  <c r="D16" i="6"/>
  <c r="F16" i="6" l="1"/>
  <c r="D17" i="6"/>
  <c r="F17" i="6" l="1"/>
  <c r="D18" i="6"/>
  <c r="F18" i="6" l="1"/>
  <c r="D19" i="6"/>
  <c r="F19" i="6" l="1"/>
  <c r="D20" i="6"/>
  <c r="F20" i="6" l="1"/>
  <c r="D21" i="6"/>
  <c r="F21" i="6" l="1"/>
  <c r="D22" i="6"/>
  <c r="F22" i="6" l="1"/>
  <c r="D23" i="6"/>
  <c r="F23" i="6" l="1"/>
  <c r="D24" i="6"/>
  <c r="F24" i="6" l="1"/>
  <c r="D25" i="6"/>
  <c r="F25" i="6" l="1"/>
  <c r="D26" i="6"/>
  <c r="F26" i="6" l="1"/>
  <c r="D27" i="6"/>
  <c r="F27" i="6" s="1"/>
  <c r="D28" i="6" s="1"/>
  <c r="F28" i="6" s="1"/>
  <c r="D29" i="6" s="1"/>
  <c r="F29" i="6" s="1"/>
  <c r="D30" i="6" s="1"/>
  <c r="F30" i="6" s="1"/>
  <c r="D31" i="6" s="1"/>
  <c r="F31" i="6" s="1"/>
  <c r="D32" i="6" s="1"/>
  <c r="F32" i="6" s="1"/>
  <c r="D33" i="6" s="1"/>
  <c r="F33" i="6" s="1"/>
  <c r="D34" i="6" s="1"/>
  <c r="F34" i="6" s="1"/>
  <c r="D35" i="6" s="1"/>
  <c r="F35" i="6" s="1"/>
  <c r="D36" i="6" s="1"/>
  <c r="F36" i="6" s="1"/>
  <c r="D37" i="6" s="1"/>
  <c r="F37" i="6" s="1"/>
  <c r="D38" i="6" s="1"/>
  <c r="F38" i="6" s="1"/>
  <c r="D39" i="6" s="1"/>
  <c r="F39" i="6" s="1"/>
  <c r="D40" i="6" s="1"/>
  <c r="F40" i="6" s="1"/>
  <c r="D41" i="6" s="1"/>
  <c r="F41" i="6" s="1"/>
  <c r="D42" i="6" s="1"/>
  <c r="F42" i="6" s="1"/>
  <c r="D43" i="6" s="1"/>
  <c r="F43" i="6" s="1"/>
  <c r="D44" i="6" s="1"/>
  <c r="F4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Natacha Sauer</author>
  </authors>
  <commentList>
    <comment ref="P52" authorId="0" shapeId="0" xr:uid="{8069D0E1-0165-45FD-BC21-9C96CBDA0CE2}">
      <text>
        <r>
          <rPr>
            <b/>
            <sz val="9"/>
            <color indexed="81"/>
            <rFont val="Segoe UI"/>
            <family val="2"/>
          </rPr>
          <t>Natacha Sauer:</t>
        </r>
        <r>
          <rPr>
            <sz val="9"/>
            <color indexed="81"/>
            <rFont val="Segoe UI"/>
            <family val="2"/>
          </rPr>
          <t xml:space="preserve">
ARREDONDAR O VALOR</t>
        </r>
      </text>
    </comment>
  </commentList>
</comments>
</file>

<file path=xl/sharedStrings.xml><?xml version="1.0" encoding="utf-8"?>
<sst xmlns="http://schemas.openxmlformats.org/spreadsheetml/2006/main" count="1653" uniqueCount="523">
  <si>
    <t>Código</t>
  </si>
  <si>
    <t>Nome</t>
  </si>
  <si>
    <t>Macro Etapa</t>
  </si>
  <si>
    <t>Rede</t>
  </si>
  <si>
    <t>Duração</t>
  </si>
  <si>
    <t>Planej. Inicial</t>
  </si>
  <si>
    <t>Planej. Final</t>
  </si>
  <si>
    <t>ESTRUTURA/ACABAMENTO</t>
  </si>
  <si>
    <t>207.50 dias</t>
  </si>
  <si>
    <t xml:space="preserve"> </t>
  </si>
  <si>
    <t>1.1</t>
  </si>
  <si>
    <t>FUND</t>
  </si>
  <si>
    <t>30.00 dias</t>
  </si>
  <si>
    <t>1.1.0.1</t>
  </si>
  <si>
    <t>Locação e Gabarito</t>
  </si>
  <si>
    <t>FUNDAÇÃO</t>
  </si>
  <si>
    <t>5.00 dias</t>
  </si>
  <si>
    <t>1.1.0.2</t>
  </si>
  <si>
    <t>Estacas</t>
  </si>
  <si>
    <t>10.00 dias</t>
  </si>
  <si>
    <t>1.1.0.3</t>
  </si>
  <si>
    <t>Vigas Baldrames</t>
  </si>
  <si>
    <t>1.1.0.4</t>
  </si>
  <si>
    <t>Instalações Enterradas</t>
  </si>
  <si>
    <t>1.1.0.5</t>
  </si>
  <si>
    <t>Contrapiso</t>
  </si>
  <si>
    <t>1.2</t>
  </si>
  <si>
    <t>PAV1</t>
  </si>
  <si>
    <t>162.50 dias</t>
  </si>
  <si>
    <t>1.2.5.3</t>
  </si>
  <si>
    <t>Alvenaria Estrutural</t>
  </si>
  <si>
    <t>TIPO</t>
  </si>
  <si>
    <t>1.2.5.4</t>
  </si>
  <si>
    <t>Estrutura Moldado in Loco</t>
  </si>
  <si>
    <t>GERAL</t>
  </si>
  <si>
    <t>1.2.5.5</t>
  </si>
  <si>
    <t>Instalações Hidrossanitárias</t>
  </si>
  <si>
    <t>1.2.5.6</t>
  </si>
  <si>
    <t>Reboco Interno</t>
  </si>
  <si>
    <t>1.2.5.7</t>
  </si>
  <si>
    <t xml:space="preserve">Shaft </t>
  </si>
  <si>
    <t>2.50 dias</t>
  </si>
  <si>
    <t>1.2.5.8</t>
  </si>
  <si>
    <t>Impermeabilização</t>
  </si>
  <si>
    <t>1.2.5.9</t>
  </si>
  <si>
    <t>Cerâmica</t>
  </si>
  <si>
    <t>1.2.5.10</t>
  </si>
  <si>
    <t>Gesso Liso</t>
  </si>
  <si>
    <t>1.2.5.11</t>
  </si>
  <si>
    <t xml:space="preserve">Esquadria </t>
  </si>
  <si>
    <t>1.2.5.12</t>
  </si>
  <si>
    <t>Fiação</t>
  </si>
  <si>
    <t>1.2.5.13</t>
  </si>
  <si>
    <t>Forro</t>
  </si>
  <si>
    <t>1.2.5.14</t>
  </si>
  <si>
    <t>Disjuntores e CD</t>
  </si>
  <si>
    <t>1.2.5.17</t>
  </si>
  <si>
    <t>Rev. da Circulação</t>
  </si>
  <si>
    <t>1.2.5.16</t>
  </si>
  <si>
    <t>Pintura Interna - 1ªdmão</t>
  </si>
  <si>
    <t>1.2.5.18</t>
  </si>
  <si>
    <t>Louças</t>
  </si>
  <si>
    <t>1.2.5.19</t>
  </si>
  <si>
    <t>Portas de Madeira</t>
  </si>
  <si>
    <t>1.2.5.15</t>
  </si>
  <si>
    <t>Piso Laminado + Rodapé</t>
  </si>
  <si>
    <t>1.2.5.20</t>
  </si>
  <si>
    <t>Metais</t>
  </si>
  <si>
    <t>1.2.5.21</t>
  </si>
  <si>
    <t>Acabamentos Elétricos</t>
  </si>
  <si>
    <t>1.2.5.22</t>
  </si>
  <si>
    <t>Pintura Final</t>
  </si>
  <si>
    <t>1.2.5.23</t>
  </si>
  <si>
    <t>Complementação e Limpeza</t>
  </si>
  <si>
    <t>1.3</t>
  </si>
  <si>
    <t>PAV2</t>
  </si>
  <si>
    <t>157.50 dias</t>
  </si>
  <si>
    <t>1.3.5.3</t>
  </si>
  <si>
    <t>1.3.5.4</t>
  </si>
  <si>
    <t>1.3.5.5</t>
  </si>
  <si>
    <t>1.3.5.6</t>
  </si>
  <si>
    <t>1.3.5.7</t>
  </si>
  <si>
    <t>1.3.5.8</t>
  </si>
  <si>
    <t>1.3.5.9</t>
  </si>
  <si>
    <t>1.3.5.10</t>
  </si>
  <si>
    <t>1.3.5.11</t>
  </si>
  <si>
    <t>1.3.5.12</t>
  </si>
  <si>
    <t>1.3.5.13</t>
  </si>
  <si>
    <t>1.3.5.14</t>
  </si>
  <si>
    <t>1.3.5.17</t>
  </si>
  <si>
    <t>1.3.5.16</t>
  </si>
  <si>
    <t>1.3.5.18</t>
  </si>
  <si>
    <t>1.3.5.19</t>
  </si>
  <si>
    <t>1.3.5.15</t>
  </si>
  <si>
    <t>1.3.5.20</t>
  </si>
  <si>
    <t>1.3.5.21</t>
  </si>
  <si>
    <t>1.3.5.22</t>
  </si>
  <si>
    <t>1.3.5.23</t>
  </si>
  <si>
    <t>1.4</t>
  </si>
  <si>
    <t>PAV3</t>
  </si>
  <si>
    <t>152.50 dias</t>
  </si>
  <si>
    <t>1.4.5.3</t>
  </si>
  <si>
    <t>1.4.5.4</t>
  </si>
  <si>
    <t>1.4.5.5</t>
  </si>
  <si>
    <t>1.4.5.6</t>
  </si>
  <si>
    <t>1.4.5.7</t>
  </si>
  <si>
    <t>1.4.5.8</t>
  </si>
  <si>
    <t>1.4.5.9</t>
  </si>
  <si>
    <t>1.4.5.10</t>
  </si>
  <si>
    <t>1.4.5.11</t>
  </si>
  <si>
    <t>1.4.5.12</t>
  </si>
  <si>
    <t>1.4.5.13</t>
  </si>
  <si>
    <t>1.4.5.14</t>
  </si>
  <si>
    <t>1.4.5.17</t>
  </si>
  <si>
    <t>1.4.5.16</t>
  </si>
  <si>
    <t>1.4.5.18</t>
  </si>
  <si>
    <t>1.4.5.19</t>
  </si>
  <si>
    <t>1.4.5.15</t>
  </si>
  <si>
    <t>1.4.5.20</t>
  </si>
  <si>
    <t>1.4.5.21</t>
  </si>
  <si>
    <t>1.4.5.22</t>
  </si>
  <si>
    <t>1.4.5.23</t>
  </si>
  <si>
    <t>1.5</t>
  </si>
  <si>
    <t>PAV4</t>
  </si>
  <si>
    <t>147.50 dias</t>
  </si>
  <si>
    <t>1.5.5.3</t>
  </si>
  <si>
    <t>1.5.5.4</t>
  </si>
  <si>
    <t>1.5.5.5</t>
  </si>
  <si>
    <t>1.5.5.6</t>
  </si>
  <si>
    <t>1.5.5.7</t>
  </si>
  <si>
    <t>1.5.5.8</t>
  </si>
  <si>
    <t>1.5.5.9</t>
  </si>
  <si>
    <t>1.5.5.10</t>
  </si>
  <si>
    <t>1.5.5.11</t>
  </si>
  <si>
    <t>1.5.5.12</t>
  </si>
  <si>
    <t>1.5.5.13</t>
  </si>
  <si>
    <t>1.5.5.14</t>
  </si>
  <si>
    <t>1.5.5.17</t>
  </si>
  <si>
    <t>1.5.5.16</t>
  </si>
  <si>
    <t>1.5.5.18</t>
  </si>
  <si>
    <t>1.5.5.19</t>
  </si>
  <si>
    <t>1.5.5.15</t>
  </si>
  <si>
    <t>1.5.5.20</t>
  </si>
  <si>
    <t>1.5.5.21</t>
  </si>
  <si>
    <t>1.5.5.22</t>
  </si>
  <si>
    <t>1.5.5.23</t>
  </si>
  <si>
    <t>1.6</t>
  </si>
  <si>
    <t>COB</t>
  </si>
  <si>
    <t>40.00 dias</t>
  </si>
  <si>
    <t>1.6.6.1</t>
  </si>
  <si>
    <t>COBERTURA</t>
  </si>
  <si>
    <t>1.6.6.2</t>
  </si>
  <si>
    <t>1.6.6.4</t>
  </si>
  <si>
    <t>Telhado</t>
  </si>
  <si>
    <t>1.6.6.5</t>
  </si>
  <si>
    <t>Algerosas + Rufos</t>
  </si>
  <si>
    <t>FACHADA</t>
  </si>
  <si>
    <t>93.00 dias</t>
  </si>
  <si>
    <t>2.1</t>
  </si>
  <si>
    <t>PANO1</t>
  </si>
  <si>
    <t>68.00 dias</t>
  </si>
  <si>
    <t>2.1.7.1</t>
  </si>
  <si>
    <t>Reboco Externo</t>
  </si>
  <si>
    <t>2.1.7.2</t>
  </si>
  <si>
    <t xml:space="preserve">Pintura Externa </t>
  </si>
  <si>
    <t>2.2</t>
  </si>
  <si>
    <t>PANO2</t>
  </si>
  <si>
    <t>2.2.7.1</t>
  </si>
  <si>
    <t>2.2.7.2</t>
  </si>
  <si>
    <t>2.3</t>
  </si>
  <si>
    <t>PANO3</t>
  </si>
  <si>
    <t>2.3.7.1</t>
  </si>
  <si>
    <t>2.3.7.2</t>
  </si>
  <si>
    <t>2.4</t>
  </si>
  <si>
    <t>PANO4</t>
  </si>
  <si>
    <t>2.4.7.1</t>
  </si>
  <si>
    <t>2.4.7.2</t>
  </si>
  <si>
    <t>2.5</t>
  </si>
  <si>
    <t>PANO5</t>
  </si>
  <si>
    <t>2.5.7.1</t>
  </si>
  <si>
    <t>2.5.7.2</t>
  </si>
  <si>
    <t>2.6</t>
  </si>
  <si>
    <t>PANO6</t>
  </si>
  <si>
    <t>2.6.7.1</t>
  </si>
  <si>
    <t>2.6.7.2</t>
  </si>
  <si>
    <t>QTDE</t>
  </si>
  <si>
    <t>R$ UNITARIO</t>
  </si>
  <si>
    <t>TOTAL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</si>
  <si>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</si>
  <si>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</si>
  <si>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</si>
  <si>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</si>
  <si>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</si>
  <si>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</si>
  <si>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</si>
  <si>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m²</t>
  </si>
  <si>
    <t>m³</t>
  </si>
  <si>
    <t>torre</t>
  </si>
  <si>
    <t>pvto</t>
  </si>
  <si>
    <t>und</t>
  </si>
  <si>
    <t>apto</t>
  </si>
  <si>
    <t>m</t>
  </si>
  <si>
    <t>UND</t>
  </si>
  <si>
    <t>Total Geral</t>
  </si>
  <si>
    <t>SEM.INICIO</t>
  </si>
  <si>
    <t>SEM.FM</t>
  </si>
  <si>
    <t>Rótulos de Linha</t>
  </si>
  <si>
    <t>Soma de TOTAL</t>
  </si>
  <si>
    <t>(Vários itens)</t>
  </si>
  <si>
    <t>Data de Status</t>
  </si>
  <si>
    <t>PLANEJADO</t>
  </si>
  <si>
    <t>EXECUTADO</t>
  </si>
  <si>
    <t>PREVISÃO</t>
  </si>
  <si>
    <t xml:space="preserve">SEMANA </t>
  </si>
  <si>
    <t>R$ semana</t>
  </si>
  <si>
    <t>R$ acumulado</t>
  </si>
  <si>
    <t>% semana</t>
  </si>
  <si>
    <t>% acumulado</t>
  </si>
  <si>
    <t>% MATERIAL</t>
  </si>
  <si>
    <t>% MÃO DE OBRA</t>
  </si>
  <si>
    <t>Soma de R$ total</t>
  </si>
  <si>
    <t>Rótulos de Coluna</t>
  </si>
  <si>
    <t>mão de obra</t>
  </si>
  <si>
    <t>material</t>
  </si>
  <si>
    <t>ALVENARIA ESTRUTURAL</t>
  </si>
  <si>
    <t>COMPLEMENTAçãO E LIMPEZA</t>
  </si>
  <si>
    <t>DISJUNTORES E CD</t>
  </si>
  <si>
    <t>ESTACAS</t>
  </si>
  <si>
    <t>ESTRUTURA MOLDADO IN LOCO</t>
  </si>
  <si>
    <t>FIAçãO</t>
  </si>
  <si>
    <t>FORRO</t>
  </si>
  <si>
    <t>GESSO LISO</t>
  </si>
  <si>
    <t>INSTALAçõES ENTERRADAS</t>
  </si>
  <si>
    <t>INSTALAçõES HIDROSSANITáRIAS</t>
  </si>
  <si>
    <t>LOCAÇÃO E GABARITO</t>
  </si>
  <si>
    <t>LOUçAS</t>
  </si>
  <si>
    <t>PINTURA FINAL</t>
  </si>
  <si>
    <t>PINTURA INTERNA - 1ªDMãO</t>
  </si>
  <si>
    <t>PORTAS DE MADEIRA</t>
  </si>
  <si>
    <t>REBOCO EXTERNO</t>
  </si>
  <si>
    <t>REBOCO INTERNO</t>
  </si>
  <si>
    <t xml:space="preserve">SHAFT </t>
  </si>
  <si>
    <t>VIGAS BALDRAMES</t>
  </si>
  <si>
    <t>CONTRAPISO</t>
  </si>
  <si>
    <t>R$ MO</t>
  </si>
  <si>
    <t>R$ MAT</t>
  </si>
  <si>
    <t>MAT -15 DIAS</t>
  </si>
  <si>
    <t>MO + 15 DIAS</t>
  </si>
  <si>
    <t>2021</t>
  </si>
  <si>
    <t>nov</t>
  </si>
  <si>
    <t>dez</t>
  </si>
  <si>
    <t>2022</t>
  </si>
  <si>
    <t>jan</t>
  </si>
  <si>
    <t>fev</t>
  </si>
  <si>
    <t>mar</t>
  </si>
  <si>
    <t>abr</t>
  </si>
  <si>
    <t>mai</t>
  </si>
  <si>
    <t>jun</t>
  </si>
  <si>
    <t>jul</t>
  </si>
  <si>
    <t>ago</t>
  </si>
  <si>
    <t>Soma de R$ MAT</t>
  </si>
  <si>
    <t>set</t>
  </si>
  <si>
    <t>Soma de R$ MO</t>
  </si>
  <si>
    <t>MÊS</t>
  </si>
  <si>
    <t>MATERIAL</t>
  </si>
  <si>
    <t>MÃO DE OBRA</t>
  </si>
  <si>
    <t>EDIFICAÇÃO</t>
  </si>
  <si>
    <t>FLUXO DE CAIXA - EMPREENDIMENTO NATBIM</t>
  </si>
  <si>
    <t>Data de Referência:</t>
  </si>
  <si>
    <t>ENTRADA (+)</t>
  </si>
  <si>
    <t>SAÍDA (-)</t>
  </si>
  <si>
    <t>SALDO OPERACIONAL</t>
  </si>
  <si>
    <t>SALDO FINAL</t>
  </si>
  <si>
    <t>ENTRADA</t>
  </si>
  <si>
    <t>Nº APTOS</t>
  </si>
  <si>
    <t>PREÇO MÉDIO 
DE VENDA</t>
  </si>
  <si>
    <t>SAÍDA</t>
  </si>
  <si>
    <t>DESPESAS</t>
  </si>
  <si>
    <t>FIXO (INÍCIO)</t>
  </si>
  <si>
    <t>FIXO (TÉRMINO)</t>
  </si>
  <si>
    <t>TEMPO - PRAZO TOTAL</t>
  </si>
  <si>
    <t>VENDAS</t>
  </si>
  <si>
    <t>CUSTO</t>
  </si>
  <si>
    <t>QUANTIDADES (BIM) - CURVA S</t>
  </si>
  <si>
    <t>TEMPO - PRAZO PROCESSO</t>
  </si>
  <si>
    <t>COLAR NA ABA_FLUXO DE CAIXA</t>
  </si>
  <si>
    <t>NA LINHA 52</t>
  </si>
  <si>
    <t>PROJEÇÃO</t>
  </si>
  <si>
    <t>Início exe</t>
  </si>
  <si>
    <t>Fim Exe</t>
  </si>
  <si>
    <t>Início Exe</t>
  </si>
  <si>
    <t>LOCALIZAÇÃO</t>
  </si>
  <si>
    <t>USER 1</t>
  </si>
  <si>
    <t>TASK TYPE</t>
  </si>
  <si>
    <t>TASK TYPE2</t>
  </si>
  <si>
    <t>Construct</t>
  </si>
  <si>
    <t>EST_FUND</t>
  </si>
  <si>
    <t>EST</t>
  </si>
  <si>
    <t>VGB_FUND</t>
  </si>
  <si>
    <t>VGB</t>
  </si>
  <si>
    <t>INSENT_FUND</t>
  </si>
  <si>
    <t>INSENT</t>
  </si>
  <si>
    <t>CONT_FUND</t>
  </si>
  <si>
    <t>CONT</t>
  </si>
  <si>
    <t>ALV_PAV1</t>
  </si>
  <si>
    <t>ALV</t>
  </si>
  <si>
    <t>ESTINLOCO_PAV1</t>
  </si>
  <si>
    <t>ESTINLOCO</t>
  </si>
  <si>
    <t>HIDRO_PAV1</t>
  </si>
  <si>
    <t>HIDRO</t>
  </si>
  <si>
    <t>REBINT_PAV1</t>
  </si>
  <si>
    <t>REBINT</t>
  </si>
  <si>
    <t>SHAFT_PAV1</t>
  </si>
  <si>
    <t>SHAFT</t>
  </si>
  <si>
    <t>IMP_PAV1</t>
  </si>
  <si>
    <t>IMP</t>
  </si>
  <si>
    <t>CERAM_PAV1</t>
  </si>
  <si>
    <t>CERAM</t>
  </si>
  <si>
    <t>GEPINT_PAV1</t>
  </si>
  <si>
    <t>GESSO</t>
  </si>
  <si>
    <t>ESQ_PAV1</t>
  </si>
  <si>
    <t>ESQ</t>
  </si>
  <si>
    <t>FIA</t>
  </si>
  <si>
    <t>FOR_PAV1</t>
  </si>
  <si>
    <t>FOR</t>
  </si>
  <si>
    <t>REVCIRC_PAV1</t>
  </si>
  <si>
    <t>REVCIRC</t>
  </si>
  <si>
    <t>DISJ_PAV1</t>
  </si>
  <si>
    <t>DISJ</t>
  </si>
  <si>
    <t>PINT</t>
  </si>
  <si>
    <t>LOU_PAV1</t>
  </si>
  <si>
    <t>LOU</t>
  </si>
  <si>
    <t>PM_PAV1</t>
  </si>
  <si>
    <t>PM</t>
  </si>
  <si>
    <t>LAM_PAV1</t>
  </si>
  <si>
    <t>LAM</t>
  </si>
  <si>
    <t>METAIS_PAV1</t>
  </si>
  <si>
    <t>METAIS</t>
  </si>
  <si>
    <t>ACAB</t>
  </si>
  <si>
    <t>PINTF</t>
  </si>
  <si>
    <t>COMPL</t>
  </si>
  <si>
    <t>ALV_PAV2</t>
  </si>
  <si>
    <t>ESTINLOCO_PAV2</t>
  </si>
  <si>
    <t>HIDRO_PAV2</t>
  </si>
  <si>
    <t>REBINT_PAV2</t>
  </si>
  <si>
    <t>SHAFT_PAV2</t>
  </si>
  <si>
    <t>IMP_PAV2</t>
  </si>
  <si>
    <t>CERAM_PAV2</t>
  </si>
  <si>
    <t>GEPINT_PAV2</t>
  </si>
  <si>
    <t>ESQ_PAV2</t>
  </si>
  <si>
    <t>FOR_PAV2</t>
  </si>
  <si>
    <t>REVCIRC_PAV2</t>
  </si>
  <si>
    <t>DISJ_PAV2</t>
  </si>
  <si>
    <t>LOU_PAV2</t>
  </si>
  <si>
    <t>PM_PAV2</t>
  </si>
  <si>
    <t>LAM_PAV2</t>
  </si>
  <si>
    <t>METAIS_PAV2</t>
  </si>
  <si>
    <t>ALV_PAV3</t>
  </si>
  <si>
    <t>ESTINLOCO_PAV3</t>
  </si>
  <si>
    <t>HIDRO_PAV3</t>
  </si>
  <si>
    <t>REBINT_PAV3</t>
  </si>
  <si>
    <t>SHAFT_PAV3</t>
  </si>
  <si>
    <t>IMP_PAV3</t>
  </si>
  <si>
    <t>CERAM_PAV3</t>
  </si>
  <si>
    <t>GEPINT_PAV3</t>
  </si>
  <si>
    <t>ESQ_PAV3</t>
  </si>
  <si>
    <t>FOR_PAV3</t>
  </si>
  <si>
    <t>REVCIRC_PAV3</t>
  </si>
  <si>
    <t>DISJ_PAV3</t>
  </si>
  <si>
    <t>LOU_PAV3</t>
  </si>
  <si>
    <t>PM_PAV3</t>
  </si>
  <si>
    <t>LAM_PAV3</t>
  </si>
  <si>
    <t>METAIS_PAV3</t>
  </si>
  <si>
    <t>ALV_PAV4</t>
  </si>
  <si>
    <t>ESTINLOCO_PAV4</t>
  </si>
  <si>
    <t>HIDRO_PAV4</t>
  </si>
  <si>
    <t>REBINT_PAV4</t>
  </si>
  <si>
    <t>SHAFT_PAV4</t>
  </si>
  <si>
    <t>IMP_PAV4</t>
  </si>
  <si>
    <t>CERAM_PAV4</t>
  </si>
  <si>
    <t>GEPINT_PAV4</t>
  </si>
  <si>
    <t>ESQ_PAV4</t>
  </si>
  <si>
    <t>FOR_PAV4</t>
  </si>
  <si>
    <t>REVCIRC_PAV4</t>
  </si>
  <si>
    <t>DISJ_PAV4</t>
  </si>
  <si>
    <t>LOU_PAV4</t>
  </si>
  <si>
    <t>PM_PAV4</t>
  </si>
  <si>
    <t>LAM_PAV4</t>
  </si>
  <si>
    <t>METAIS_PAV4</t>
  </si>
  <si>
    <t>ALV_COB</t>
  </si>
  <si>
    <t>HIDRO_COB</t>
  </si>
  <si>
    <t>TELHA_COB</t>
  </si>
  <si>
    <t>TEL</t>
  </si>
  <si>
    <t>ALG</t>
  </si>
  <si>
    <t>REVEXT_PANO1</t>
  </si>
  <si>
    <t>REBEXT</t>
  </si>
  <si>
    <t>PINTEXT</t>
  </si>
  <si>
    <t>REVEXT_PANO2</t>
  </si>
  <si>
    <t>REVEXT_PANO3</t>
  </si>
  <si>
    <t>REVEXT_PANO4</t>
  </si>
  <si>
    <t>REVEXT_PANO5</t>
  </si>
  <si>
    <t>REVEXT_PANO6</t>
  </si>
  <si>
    <t>NAVISWORKS</t>
  </si>
  <si>
    <t>CURVA S</t>
  </si>
  <si>
    <t>FLUXO DE CAIXA</t>
  </si>
  <si>
    <t>% PLANEJADO</t>
  </si>
  <si>
    <t>R$ PLANEJADO</t>
  </si>
  <si>
    <t>SEM. INÍCIO REPLAN</t>
  </si>
  <si>
    <t>SEM. TÉRM REPLAN</t>
  </si>
  <si>
    <t>CUSTO REPLAN</t>
  </si>
  <si>
    <t>R$ EXECUTADO</t>
  </si>
  <si>
    <t>EstacasFUND</t>
  </si>
  <si>
    <t>Vigas BaldramesFUND</t>
  </si>
  <si>
    <t>Instalações EnterradasFUND</t>
  </si>
  <si>
    <t>ContrapisoFUND</t>
  </si>
  <si>
    <t>Alvenaria EstruturalPAV1</t>
  </si>
  <si>
    <t>Estrutura Moldado in LocoPAV1</t>
  </si>
  <si>
    <t>Instalações HidrossanitáriasPAV1</t>
  </si>
  <si>
    <t>Reboco InternoPAV1</t>
  </si>
  <si>
    <t>Shaft PAV1</t>
  </si>
  <si>
    <t>ImpermeabilizaçãoPAV1</t>
  </si>
  <si>
    <t>CerâmicaPAV1</t>
  </si>
  <si>
    <t>Gesso LisoPAV1</t>
  </si>
  <si>
    <t>Esquadria PAV1</t>
  </si>
  <si>
    <t>FiaçãoPAV1</t>
  </si>
  <si>
    <t>ForroPAV1</t>
  </si>
  <si>
    <t>Disjuntores e CDPAV1</t>
  </si>
  <si>
    <t>Rev. da CirculaçãoPAV1</t>
  </si>
  <si>
    <t>Pintura Interna - 1ªdmãoPAV1</t>
  </si>
  <si>
    <t>LouçasPAV1</t>
  </si>
  <si>
    <t>Portas de MadeiraPAV1</t>
  </si>
  <si>
    <t>Piso Laminado + RodapéPAV1</t>
  </si>
  <si>
    <t>MetaisPAV1</t>
  </si>
  <si>
    <t>Acabamentos ElétricosPAV1</t>
  </si>
  <si>
    <t>Pintura FinalPAV1</t>
  </si>
  <si>
    <t>Complementação e LimpezaPAV1</t>
  </si>
  <si>
    <t>Alvenaria EstruturalPAV2</t>
  </si>
  <si>
    <t>Estrutura Moldado in LocoPAV2</t>
  </si>
  <si>
    <t>Instalações HidrossanitáriasPAV2</t>
  </si>
  <si>
    <t>Reboco InternoPAV2</t>
  </si>
  <si>
    <t>Shaft PAV2</t>
  </si>
  <si>
    <t>ImpermeabilizaçãoPAV2</t>
  </si>
  <si>
    <t>CerâmicaPAV2</t>
  </si>
  <si>
    <t>Gesso LisoPAV2</t>
  </si>
  <si>
    <t>Esquadria PAV2</t>
  </si>
  <si>
    <t>FiaçãoPAV2</t>
  </si>
  <si>
    <t>ForroPAV2</t>
  </si>
  <si>
    <t>Disjuntores e CDPAV2</t>
  </si>
  <si>
    <t>Rev. da CirculaçãoPAV2</t>
  </si>
  <si>
    <t>Pintura Interna - 1ªdmãoPAV2</t>
  </si>
  <si>
    <t>LouçasPAV2</t>
  </si>
  <si>
    <t>Portas de MadeiraPAV2</t>
  </si>
  <si>
    <t>Piso Laminado + RodapéPAV2</t>
  </si>
  <si>
    <t>MetaisPAV2</t>
  </si>
  <si>
    <t>Acabamentos ElétricosPAV2</t>
  </si>
  <si>
    <t>Pintura FinalPAV2</t>
  </si>
  <si>
    <t>Complementação e LimpezaPAV2</t>
  </si>
  <si>
    <t>Alvenaria EstruturalPAV3</t>
  </si>
  <si>
    <t>Estrutura Moldado in LocoPAV3</t>
  </si>
  <si>
    <t>Instalações HidrossanitáriasPAV3</t>
  </si>
  <si>
    <t>Reboco InternoPAV3</t>
  </si>
  <si>
    <t>Shaft PAV3</t>
  </si>
  <si>
    <t>ImpermeabilizaçãoPAV3</t>
  </si>
  <si>
    <t>CerâmicaPAV3</t>
  </si>
  <si>
    <t>Gesso LisoPAV3</t>
  </si>
  <si>
    <t>Esquadria PAV3</t>
  </si>
  <si>
    <t>FiaçãoPAV3</t>
  </si>
  <si>
    <t>ForroPAV3</t>
  </si>
  <si>
    <t>Disjuntores e CDPAV3</t>
  </si>
  <si>
    <t>Rev. da CirculaçãoPAV3</t>
  </si>
  <si>
    <t>Pintura Interna - 1ªdmãoPAV3</t>
  </si>
  <si>
    <t>LouçasPAV3</t>
  </si>
  <si>
    <t>Portas de MadeiraPAV3</t>
  </si>
  <si>
    <t>Piso Laminado + RodapéPAV3</t>
  </si>
  <si>
    <t>MetaisPAV3</t>
  </si>
  <si>
    <t>Acabamentos ElétricosPAV3</t>
  </si>
  <si>
    <t>Pintura FinalPAV3</t>
  </si>
  <si>
    <t>Complementação e LimpezaPAV3</t>
  </si>
  <si>
    <t>Alvenaria EstruturalPAV4</t>
  </si>
  <si>
    <t>Estrutura Moldado in LocoPAV4</t>
  </si>
  <si>
    <t>Instalações HidrossanitáriasPAV4</t>
  </si>
  <si>
    <t>Reboco InternoPAV4</t>
  </si>
  <si>
    <t>Shaft PAV4</t>
  </si>
  <si>
    <t>ImpermeabilizaçãoPAV4</t>
  </si>
  <si>
    <t>CerâmicaPAV4</t>
  </si>
  <si>
    <t>Gesso LisoPAV4</t>
  </si>
  <si>
    <t>Esquadria PAV4</t>
  </si>
  <si>
    <t>FiaçãoPAV4</t>
  </si>
  <si>
    <t>ForroPAV4</t>
  </si>
  <si>
    <t>Disjuntores e CDPAV4</t>
  </si>
  <si>
    <t>Rev. da CirculaçãoPAV4</t>
  </si>
  <si>
    <t>Pintura Interna - 1ªdmãoPAV4</t>
  </si>
  <si>
    <t>LouçasPAV4</t>
  </si>
  <si>
    <t>Portas de MadeiraPAV4</t>
  </si>
  <si>
    <t>Piso Laminado + RodapéPAV4</t>
  </si>
  <si>
    <t>MetaisPAV4</t>
  </si>
  <si>
    <t>Acabamentos ElétricosPAV4</t>
  </si>
  <si>
    <t>Pintura FinalPAV4</t>
  </si>
  <si>
    <t>Complementação e LimpezaPAV4</t>
  </si>
  <si>
    <t>Alvenaria EstruturalCOB</t>
  </si>
  <si>
    <t>Instalações HidrossanitáriasCOB</t>
  </si>
  <si>
    <t>TelhadoCOB</t>
  </si>
  <si>
    <t>Algerosas + RufosCOB</t>
  </si>
  <si>
    <t>Reboco ExternoPANO1</t>
  </si>
  <si>
    <t>Pintura Externa PANO1</t>
  </si>
  <si>
    <t>Reboco ExternoPANO2</t>
  </si>
  <si>
    <t>Pintura Externa PANO2</t>
  </si>
  <si>
    <t>Reboco ExternoPANO3</t>
  </si>
  <si>
    <t>Pintura Externa PANO3</t>
  </si>
  <si>
    <t>Reboco ExternoPANO4</t>
  </si>
  <si>
    <t>Pintura Externa PANO4</t>
  </si>
  <si>
    <t>Reboco ExternoPANO5</t>
  </si>
  <si>
    <t>Pintura Externa PANO5</t>
  </si>
  <si>
    <t>Reboco ExternoPANO6</t>
  </si>
  <si>
    <t>Pintura Externa PANO6</t>
  </si>
  <si>
    <t xml:space="preserve">código </t>
  </si>
  <si>
    <t>SEM FIM EXE</t>
  </si>
  <si>
    <t>%EXE</t>
  </si>
  <si>
    <t>%</t>
  </si>
  <si>
    <t>(vazio)</t>
  </si>
  <si>
    <t>Soma de R$ EXECUTADO</t>
  </si>
  <si>
    <t>EXE</t>
  </si>
  <si>
    <t>Soma de CUSTO REPLAN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</si>
</sst>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* #,##0_-;\-* #,##0_-;_-* &quot;-&quot;??_-;_-@_-"/>
    <numFmt numFmtId="166" formatCode="0.0%"/>
    <numFmt numFmtId="167" formatCode="[$-416]mmm\-yy;@"/>
    <numFmt numFmtId="168" formatCode="[$-F800]dddd\,\ mmmm\ dd\,\ yyyy"/>
    <numFmt numFmtId="169" formatCode="_-&quot;R$&quot;\ * #,##0_-;\-&quot;R$&quot;\ * #,##0_-;_-&quot;R$&quot;\ * &quot;-&quot;??_-;_-@_-"/>
    <numFmt numFmtId="170" formatCode="_-[$R$-416]\ * #,##0.00_-;\-[$R$-416]\ * #,##0.00_-;_-[$R$-416]\ * &quot;-&quot;??_-;_-@_-"/>
    <numFmt numFmtId="172" formatCode="d/m/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al"/>
    </font>
    <font>
      <b/>
      <sz val="10"/>
      <color theme="1"/>
      <name val="Aral"/>
    </font>
    <font>
      <b/>
      <sz val="10"/>
      <color theme="0"/>
      <name val="Aral"/>
    </font>
    <font>
      <b/>
      <sz val="10"/>
      <name val="Aral"/>
    </font>
    <font>
      <b/>
      <sz val="12"/>
      <color theme="0"/>
      <name val="Aral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16" fillId="0" borderId="0" xfId="0" applyFont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10" fontId="16" fillId="33" borderId="12" xfId="0" applyNumberFormat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9" xfId="0" applyFont="1" applyFill="1" applyBorder="1" applyAlignment="1">
      <alignment horizontal="center"/>
    </xf>
    <xf numFmtId="0" fontId="16" fillId="35" borderId="18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22" xfId="44" applyNumberFormat="1" applyFont="1" applyBorder="1" applyAlignment="1">
      <alignment horizontal="center"/>
    </xf>
    <xf numFmtId="166" fontId="0" fillId="0" borderId="23" xfId="44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0" fontId="0" fillId="0" borderId="26" xfId="44" applyNumberFormat="1" applyFont="1" applyBorder="1" applyAlignment="1">
      <alignment horizontal="center"/>
    </xf>
    <xf numFmtId="166" fontId="0" fillId="0" borderId="27" xfId="44" applyNumberFormat="1" applyFont="1" applyBorder="1" applyAlignment="1">
      <alignment horizontal="center"/>
    </xf>
    <xf numFmtId="10" fontId="0" fillId="0" borderId="27" xfId="44" applyNumberFormat="1" applyFont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44" applyFont="1"/>
    <xf numFmtId="9" fontId="0" fillId="0" borderId="0" xfId="44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167" fontId="0" fillId="0" borderId="0" xfId="0" applyNumberFormat="1" applyAlignment="1">
      <alignment horizontal="left" indent="1"/>
    </xf>
    <xf numFmtId="167" fontId="0" fillId="0" borderId="0" xfId="0" applyNumberFormat="1" applyAlignment="1">
      <alignment horizontal="left"/>
    </xf>
    <xf numFmtId="168" fontId="0" fillId="0" borderId="0" xfId="0" applyNumberFormat="1" applyAlignment="1">
      <alignment horizontal="left" indent="1"/>
    </xf>
    <xf numFmtId="10" fontId="16" fillId="33" borderId="28" xfId="0" applyNumberFormat="1" applyFont="1" applyFill="1" applyBorder="1" applyAlignment="1">
      <alignment horizontal="center"/>
    </xf>
    <xf numFmtId="44" fontId="16" fillId="0" borderId="29" xfId="2" applyFont="1" applyBorder="1" applyAlignment="1">
      <alignment horizontal="center"/>
    </xf>
    <xf numFmtId="44" fontId="16" fillId="0" borderId="30" xfId="2" applyFon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44" fontId="0" fillId="0" borderId="17" xfId="2" applyFont="1" applyBorder="1" applyAlignment="1">
      <alignment horizontal="center"/>
    </xf>
    <xf numFmtId="0" fontId="16" fillId="33" borderId="31" xfId="0" applyFont="1" applyFill="1" applyBorder="1" applyAlignment="1">
      <alignment horizontal="center"/>
    </xf>
    <xf numFmtId="44" fontId="0" fillId="0" borderId="31" xfId="2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9" fillId="0" borderId="17" xfId="0" applyFont="1" applyBorder="1" applyAlignment="1">
      <alignment horizontal="left"/>
    </xf>
    <xf numFmtId="17" fontId="19" fillId="0" borderId="17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7" fontId="18" fillId="0" borderId="0" xfId="0" applyNumberFormat="1" applyFont="1" applyAlignment="1">
      <alignment horizontal="center"/>
    </xf>
    <xf numFmtId="167" fontId="20" fillId="36" borderId="32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0" fontId="20" fillId="37" borderId="32" xfId="0" applyFont="1" applyFill="1" applyBorder="1" applyAlignment="1">
      <alignment horizontal="left" vertical="center"/>
    </xf>
    <xf numFmtId="3" fontId="20" fillId="37" borderId="32" xfId="0" applyNumberFormat="1" applyFont="1" applyFill="1" applyBorder="1" applyAlignment="1">
      <alignment horizontal="center" vertical="center"/>
    </xf>
    <xf numFmtId="3" fontId="18" fillId="0" borderId="0" xfId="0" applyNumberFormat="1" applyFont="1"/>
    <xf numFmtId="0" fontId="20" fillId="36" borderId="32" xfId="0" applyFont="1" applyFill="1" applyBorder="1" applyAlignment="1">
      <alignment horizontal="left" vertical="center"/>
    </xf>
    <xf numFmtId="3" fontId="20" fillId="36" borderId="32" xfId="0" applyNumberFormat="1" applyFont="1" applyFill="1" applyBorder="1" applyAlignment="1">
      <alignment horizontal="center" vertical="center"/>
    </xf>
    <xf numFmtId="169" fontId="20" fillId="37" borderId="32" xfId="2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0" fontId="0" fillId="0" borderId="0" xfId="0" applyNumberFormat="1"/>
    <xf numFmtId="0" fontId="21" fillId="38" borderId="32" xfId="0" applyFont="1" applyFill="1" applyBorder="1" applyAlignment="1">
      <alignment horizontal="left" vertical="center"/>
    </xf>
    <xf numFmtId="0" fontId="21" fillId="38" borderId="32" xfId="0" applyFont="1" applyFill="1" applyBorder="1" applyAlignment="1">
      <alignment horizontal="center" vertical="center"/>
    </xf>
    <xf numFmtId="169" fontId="21" fillId="39" borderId="32" xfId="2" applyNumberFormat="1" applyFont="1" applyFill="1" applyBorder="1" applyAlignment="1">
      <alignment horizontal="center" vertical="center"/>
    </xf>
    <xf numFmtId="0" fontId="21" fillId="38" borderId="32" xfId="0" applyFont="1" applyFill="1" applyBorder="1" applyAlignment="1">
      <alignment horizontal="left" vertical="center" wrapText="1"/>
    </xf>
    <xf numFmtId="3" fontId="21" fillId="38" borderId="32" xfId="0" applyNumberFormat="1" applyFont="1" applyFill="1" applyBorder="1" applyAlignment="1">
      <alignment horizontal="center" vertical="center"/>
    </xf>
    <xf numFmtId="169" fontId="0" fillId="0" borderId="0" xfId="2" applyNumberFormat="1" applyFont="1"/>
    <xf numFmtId="169" fontId="18" fillId="0" borderId="0" xfId="2" applyNumberFormat="1" applyFont="1"/>
    <xf numFmtId="3" fontId="21" fillId="38" borderId="32" xfId="2" applyNumberFormat="1" applyFont="1" applyFill="1" applyBorder="1" applyAlignment="1">
      <alignment horizontal="center" vertical="center"/>
    </xf>
    <xf numFmtId="3" fontId="21" fillId="38" borderId="32" xfId="1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3" fontId="18" fillId="0" borderId="0" xfId="0" applyNumberFormat="1" applyFont="1" applyAlignment="1">
      <alignment horizontal="center"/>
    </xf>
    <xf numFmtId="3" fontId="18" fillId="0" borderId="0" xfId="2" applyNumberFormat="1" applyFont="1"/>
    <xf numFmtId="3" fontId="0" fillId="0" borderId="0" xfId="0" applyNumberFormat="1"/>
    <xf numFmtId="14" fontId="0" fillId="41" borderId="0" xfId="0" applyNumberFormat="1" applyFill="1" applyAlignment="1">
      <alignment horizontal="center"/>
    </xf>
    <xf numFmtId="0" fontId="0" fillId="40" borderId="0" xfId="0" applyFill="1" applyAlignment="1">
      <alignment horizontal="center"/>
    </xf>
    <xf numFmtId="0" fontId="0" fillId="42" borderId="0" xfId="0" applyFill="1" applyAlignment="1">
      <alignment horizontal="center"/>
    </xf>
    <xf numFmtId="43" fontId="16" fillId="41" borderId="0" xfId="1" applyFont="1" applyFill="1" applyAlignment="1">
      <alignment horizontal="center"/>
    </xf>
    <xf numFmtId="0" fontId="16" fillId="41" borderId="0" xfId="0" applyFont="1" applyFill="1" applyAlignment="1">
      <alignment horizontal="center"/>
    </xf>
    <xf numFmtId="44" fontId="16" fillId="41" borderId="0" xfId="2" applyFont="1" applyFill="1" applyAlignment="1">
      <alignment horizontal="center"/>
    </xf>
    <xf numFmtId="9" fontId="16" fillId="41" borderId="0" xfId="44" applyFont="1" applyFill="1" applyAlignment="1">
      <alignment horizontal="center"/>
    </xf>
    <xf numFmtId="43" fontId="0" fillId="41" borderId="0" xfId="1" applyFont="1" applyFill="1" applyAlignment="1">
      <alignment horizontal="center"/>
    </xf>
    <xf numFmtId="0" fontId="0" fillId="41" borderId="0" xfId="0" applyFill="1" applyAlignment="1">
      <alignment horizontal="center"/>
    </xf>
    <xf numFmtId="44" fontId="0" fillId="41" borderId="0" xfId="2" applyFont="1" applyFill="1" applyAlignment="1">
      <alignment horizontal="center"/>
    </xf>
    <xf numFmtId="9" fontId="0" fillId="41" borderId="0" xfId="44" applyFont="1" applyFill="1" applyAlignment="1">
      <alignment horizontal="center"/>
    </xf>
    <xf numFmtId="44" fontId="0" fillId="41" borderId="0" xfId="0" applyNumberFormat="1" applyFill="1" applyAlignment="1">
      <alignment horizontal="center"/>
    </xf>
    <xf numFmtId="44" fontId="0" fillId="41" borderId="0" xfId="0" applyNumberFormat="1" applyFill="1"/>
    <xf numFmtId="0" fontId="25" fillId="43" borderId="0" xfId="0" applyFont="1" applyFill="1" applyAlignment="1">
      <alignment horizontal="center"/>
    </xf>
    <xf numFmtId="0" fontId="25" fillId="44" borderId="0" xfId="0" applyFont="1" applyFill="1" applyAlignment="1">
      <alignment horizontal="center"/>
    </xf>
    <xf numFmtId="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0" fillId="39" borderId="0" xfId="0" applyFill="1"/>
    <xf numFmtId="0" fontId="16" fillId="42" borderId="17" xfId="0" applyFont="1" applyFill="1" applyBorder="1" applyAlignment="1">
      <alignment horizontal="center"/>
    </xf>
    <xf numFmtId="43" fontId="16" fillId="42" borderId="17" xfId="1" applyFont="1" applyFill="1" applyBorder="1" applyAlignment="1">
      <alignment horizontal="center"/>
    </xf>
    <xf numFmtId="0" fontId="0" fillId="45" borderId="0" xfId="0" applyFill="1" applyAlignment="1">
      <alignment horizontal="center"/>
    </xf>
    <xf numFmtId="43" fontId="0" fillId="45" borderId="0" xfId="1" applyFont="1" applyFill="1" applyAlignment="1">
      <alignment horizontal="center"/>
    </xf>
    <xf numFmtId="44" fontId="0" fillId="40" borderId="0" xfId="2" applyFont="1" applyFill="1"/>
    <xf numFmtId="44" fontId="16" fillId="40" borderId="17" xfId="2" applyFont="1" applyFill="1" applyBorder="1" applyAlignment="1">
      <alignment horizontal="center"/>
    </xf>
    <xf numFmtId="9" fontId="16" fillId="40" borderId="17" xfId="44" applyFont="1" applyFill="1" applyBorder="1" applyAlignment="1">
      <alignment horizontal="center"/>
    </xf>
    <xf numFmtId="9" fontId="0" fillId="40" borderId="0" xfId="44" applyFont="1" applyFill="1" applyAlignment="1">
      <alignment horizontal="center"/>
    </xf>
    <xf numFmtId="9" fontId="27" fillId="47" borderId="0" xfId="0" applyNumberFormat="1" applyFont="1" applyFill="1" applyAlignment="1">
      <alignment horizontal="center"/>
    </xf>
    <xf numFmtId="0" fontId="27" fillId="47" borderId="0" xfId="0" applyFont="1" applyFill="1" applyAlignment="1">
      <alignment horizontal="center"/>
    </xf>
    <xf numFmtId="0" fontId="13" fillId="46" borderId="0" xfId="0" applyFont="1" applyFill="1"/>
    <xf numFmtId="14" fontId="13" fillId="46" borderId="0" xfId="0" applyNumberFormat="1" applyFont="1" applyFill="1" applyAlignment="1">
      <alignment horizontal="center"/>
    </xf>
    <xf numFmtId="9" fontId="13" fillId="46" borderId="0" xfId="44" applyFont="1" applyFill="1" applyAlignment="1">
      <alignment horizontal="center"/>
    </xf>
    <xf numFmtId="0" fontId="13" fillId="46" borderId="0" xfId="0" applyFont="1" applyFill="1" applyAlignment="1">
      <alignment horizontal="center"/>
    </xf>
    <xf numFmtId="44" fontId="13" fillId="46" borderId="0" xfId="2" applyFont="1" applyFill="1" applyAlignment="1">
      <alignment horizontal="center"/>
    </xf>
    <xf numFmtId="44" fontId="13" fillId="46" borderId="0" xfId="0" applyNumberFormat="1" applyFont="1" applyFill="1"/>
    <xf numFmtId="44" fontId="13" fillId="46" borderId="0" xfId="2" applyFont="1" applyFill="1"/>
    <xf numFmtId="43" fontId="13" fillId="46" borderId="0" xfId="1" applyFont="1" applyFill="1" applyAlignment="1">
      <alignment horizontal="center"/>
    </xf>
    <xf numFmtId="14" fontId="0" fillId="40" borderId="0" xfId="0" applyNumberFormat="1" applyFill="1" applyAlignment="1">
      <alignment horizontal="center"/>
    </xf>
    <xf numFmtId="14" fontId="16" fillId="41" borderId="0" xfId="0" applyNumberFormat="1" applyFont="1" applyFill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19" fillId="0" borderId="0" xfId="0" applyFont="1" applyAlignment="1">
      <alignment horizontal="center" vertical="center" textRotation="90" wrapText="1"/>
    </xf>
    <xf numFmtId="0" fontId="19" fillId="0" borderId="0" xfId="0" applyFont="1" applyAlignment="1">
      <alignment horizontal="center" vertical="center" textRotation="90"/>
    </xf>
    <xf numFmtId="0" fontId="22" fillId="37" borderId="0" xfId="0" applyFont="1" applyFill="1" applyAlignment="1">
      <alignment horizontal="center" vertical="center" textRotation="90" wrapText="1"/>
    </xf>
    <xf numFmtId="0" fontId="22" fillId="37" borderId="0" xfId="0" applyFont="1" applyFill="1" applyAlignment="1">
      <alignment horizontal="center" vertical="center" textRotation="90"/>
    </xf>
    <xf numFmtId="0" fontId="16" fillId="40" borderId="17" xfId="0" applyFont="1" applyFill="1" applyBorder="1" applyAlignment="1">
      <alignment horizontal="center"/>
    </xf>
    <xf numFmtId="0" fontId="16" fillId="42" borderId="17" xfId="0" applyFont="1" applyFill="1" applyBorder="1" applyAlignment="1">
      <alignment horizontal="center"/>
    </xf>
    <xf numFmtId="9" fontId="16" fillId="41" borderId="28" xfId="44" applyFont="1" applyFill="1" applyBorder="1" applyAlignment="1">
      <alignment horizontal="center"/>
    </xf>
    <xf numFmtId="9" fontId="16" fillId="41" borderId="29" xfId="44" applyFont="1" applyFill="1" applyBorder="1" applyAlignment="1">
      <alignment horizontal="center"/>
    </xf>
    <xf numFmtId="9" fontId="16" fillId="41" borderId="30" xfId="44" applyFont="1" applyFill="1" applyBorder="1" applyAlignment="1">
      <alignment horizontal="center"/>
    </xf>
    <xf numFmtId="172" fontId="0" fillId="42" borderId="0" xfId="0" applyNumberFormat="1" applyFill="1" applyAlignment="1">
      <alignment horizontal="center"/>
    </xf>
    <xf numFmtId="172" fontId="13" fillId="46" borderId="0" xfId="0" applyNumberFormat="1" applyFont="1" applyFill="1" applyAlignment="1">
      <alignment horizontal="center"/>
    </xf>
    <xf numFmtId="172" fontId="0" fillId="0" borderId="0" xfId="0" applyNumberFormat="1" applyAlignment="1">
      <alignment horizontal="center"/>
    </xf>
    <xf numFmtId="165" fontId="16" fillId="40" borderId="17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13" fillId="46" borderId="0" xfId="1" applyNumberFormat="1" applyFont="1" applyFill="1" applyAlignment="1">
      <alignment horizontal="center"/>
    </xf>
    <xf numFmtId="165" fontId="0" fillId="40" borderId="0" xfId="1" applyNumberFormat="1" applyFont="1" applyFill="1" applyAlignment="1">
      <alignment horizontal="center"/>
    </xf>
    <xf numFmtId="43" fontId="16" fillId="41" borderId="29" xfId="1" applyFont="1" applyFill="1" applyBorder="1" applyAlignment="1">
      <alignment horizontal="center"/>
    </xf>
    <xf numFmtId="43" fontId="16" fillId="41" borderId="30" xfId="1" applyFont="1" applyFill="1" applyBorder="1" applyAlignment="1">
      <alignment horizontal="center"/>
    </xf>
    <xf numFmtId="0" fontId="16" fillId="41" borderId="28" xfId="0" applyFont="1" applyFill="1" applyBorder="1" applyAlignment="1">
      <alignment horizontal="center"/>
    </xf>
    <xf numFmtId="0" fontId="16" fillId="41" borderId="30" xfId="0" applyFont="1" applyFill="1" applyBorder="1" applyAlignment="1">
      <alignment horizontal="center"/>
    </xf>
    <xf numFmtId="165" fontId="16" fillId="40" borderId="13" xfId="1" applyNumberFormat="1" applyFont="1" applyFill="1" applyBorder="1" applyAlignment="1">
      <alignment horizontal="center"/>
    </xf>
    <xf numFmtId="165" fontId="16" fillId="40" borderId="12" xfId="1" applyNumberFormat="1" applyFont="1" applyFill="1" applyBorder="1" applyAlignment="1">
      <alignment horizontal="center"/>
    </xf>
    <xf numFmtId="0" fontId="16" fillId="42" borderId="11" xfId="0" applyFont="1" applyFill="1" applyBorder="1" applyAlignment="1">
      <alignment horizontal="center"/>
    </xf>
    <xf numFmtId="0" fontId="16" fillId="42" borderId="12" xfId="0" applyFont="1" applyFill="1" applyBorder="1" applyAlignment="1">
      <alignment horizontal="center"/>
    </xf>
    <xf numFmtId="0" fontId="16" fillId="42" borderId="13" xfId="0" applyFont="1" applyFill="1" applyBorder="1" applyAlignment="1">
      <alignment horizontal="center"/>
    </xf>
    <xf numFmtId="43" fontId="16" fillId="34" borderId="18" xfId="1" applyFont="1" applyFill="1" applyBorder="1" applyAlignment="1">
      <alignment horizontal="center"/>
    </xf>
    <xf numFmtId="43" fontId="0" fillId="0" borderId="21" xfId="1" applyFont="1" applyBorder="1" applyAlignment="1">
      <alignment horizontal="center"/>
    </xf>
    <xf numFmtId="44" fontId="0" fillId="0" borderId="21" xfId="2" applyFont="1" applyBorder="1"/>
    <xf numFmtId="44" fontId="0" fillId="48" borderId="21" xfId="2" applyFont="1" applyFill="1" applyBorder="1"/>
    <xf numFmtId="165" fontId="0" fillId="48" borderId="21" xfId="1" applyNumberFormat="1" applyFont="1" applyFill="1" applyBorder="1" applyAlignment="1">
      <alignment horizontal="center"/>
    </xf>
    <xf numFmtId="10" fontId="0" fillId="48" borderId="22" xfId="44" applyNumberFormat="1" applyFont="1" applyFill="1" applyBorder="1" applyAlignment="1">
      <alignment horizontal="center"/>
    </xf>
    <xf numFmtId="166" fontId="0" fillId="48" borderId="23" xfId="44" applyNumberFormat="1" applyFont="1" applyFill="1" applyBorder="1" applyAlignment="1">
      <alignment horizontal="center"/>
    </xf>
    <xf numFmtId="165" fontId="0" fillId="48" borderId="25" xfId="1" applyNumberFormat="1" applyFont="1" applyFill="1" applyBorder="1" applyAlignment="1">
      <alignment horizontal="center"/>
    </xf>
    <xf numFmtId="10" fontId="0" fillId="48" borderId="26" xfId="44" applyNumberFormat="1" applyFont="1" applyFill="1" applyBorder="1" applyAlignment="1">
      <alignment horizontal="center"/>
    </xf>
    <xf numFmtId="166" fontId="0" fillId="48" borderId="27" xfId="44" applyNumberFormat="1" applyFont="1" applyFill="1" applyBorder="1" applyAlignment="1">
      <alignment horizontal="center"/>
    </xf>
    <xf numFmtId="10" fontId="0" fillId="48" borderId="27" xfId="44" applyNumberFormat="1" applyFont="1" applyFill="1" applyBorder="1" applyAlignment="1">
      <alignment horizontal="center"/>
    </xf>
    <xf numFmtId="43" fontId="0" fillId="48" borderId="21" xfId="1" applyFont="1" applyFill="1" applyBorder="1" applyAlignment="1">
      <alignment horizontal="center"/>
    </xf>
  </cellXfs>
  <cellStyles count="45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Moeda" xfId="2" builtinId="4"/>
    <cellStyle name="Neutro" xfId="10" builtinId="28" customBuiltin="1"/>
    <cellStyle name="Normal" xfId="0" builtinId="0"/>
    <cellStyle name="Nota" xfId="17" builtinId="10" customBuiltin="1"/>
    <cellStyle name="Porcentagem" xfId="44" builtinId="5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3">
    <dxf>
      <numFmt numFmtId="168" formatCode="[$-F800]dddd\,\ mmmm\ dd\,\ yyyy"/>
    </dxf>
    <dxf>
      <numFmt numFmtId="167" formatCode="[$-416]mmm\-yy;@"/>
    </dxf>
    <dxf>
      <numFmt numFmtId="167" formatCode="[$-416]mmm\-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CURVA S - EMPREENDIMENTO NATBIM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52-4048-B801-66B8476DC1F3}"/>
              </c:ext>
            </c:extLst>
          </c:dPt>
          <c:val>
            <c:numRef>
              <c:f>'CURVA S'!$A$3:$A$39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2-A152-4048-B801-66B8476D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ser>
          <c:idx val="1"/>
          <c:order val="0"/>
          <c:tx>
            <c:v>Plan Sem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'CURVA S'!$E$3:$E$44</c:f>
              <c:numCache>
                <c:formatCode>0.00%</c:formatCode>
                <c:ptCount val="42"/>
                <c:pt idx="0">
                  <c:v>1.7727727751270176E-3</c:v>
                </c:pt>
                <c:pt idx="1">
                  <c:v>0</c:v>
                </c:pt>
                <c:pt idx="2">
                  <c:v>2.2384609450866174E-2</c:v>
                </c:pt>
                <c:pt idx="3">
                  <c:v>4.5634002889326036E-2</c:v>
                </c:pt>
                <c:pt idx="4">
                  <c:v>2.2806836867359613E-4</c:v>
                </c:pt>
                <c:pt idx="5">
                  <c:v>0</c:v>
                </c:pt>
                <c:pt idx="6">
                  <c:v>2.2749410884291086E-2</c:v>
                </c:pt>
                <c:pt idx="7">
                  <c:v>6.2930270671009786E-2</c:v>
                </c:pt>
                <c:pt idx="8">
                  <c:v>4.2285441873886984E-2</c:v>
                </c:pt>
                <c:pt idx="9">
                  <c:v>6.3111188334009763E-2</c:v>
                </c:pt>
                <c:pt idx="10">
                  <c:v>4.2285441873886984E-2</c:v>
                </c:pt>
                <c:pt idx="11">
                  <c:v>6.3111188334009763E-2</c:v>
                </c:pt>
                <c:pt idx="12">
                  <c:v>4.2285441873886984E-2</c:v>
                </c:pt>
                <c:pt idx="13">
                  <c:v>7.1879367480307765E-2</c:v>
                </c:pt>
                <c:pt idx="14">
                  <c:v>5.3197812058601406E-2</c:v>
                </c:pt>
                <c:pt idx="15">
                  <c:v>2.260675916667201E-2</c:v>
                </c:pt>
                <c:pt idx="16">
                  <c:v>1.855755366504842E-2</c:v>
                </c:pt>
                <c:pt idx="17">
                  <c:v>1.0970030648686572E-2</c:v>
                </c:pt>
                <c:pt idx="18">
                  <c:v>4.4213210209046727E-2</c:v>
                </c:pt>
                <c:pt idx="19">
                  <c:v>1.3320152960078919E-2</c:v>
                </c:pt>
                <c:pt idx="20">
                  <c:v>1.2247655898242945E-2</c:v>
                </c:pt>
                <c:pt idx="21">
                  <c:v>2.070902742089788E-2</c:v>
                </c:pt>
                <c:pt idx="22">
                  <c:v>2.0048526578994554E-2</c:v>
                </c:pt>
                <c:pt idx="23">
                  <c:v>1.7754843549643018E-2</c:v>
                </c:pt>
                <c:pt idx="24">
                  <c:v>1.7754843549643018E-2</c:v>
                </c:pt>
                <c:pt idx="25">
                  <c:v>4.4383817532817737E-3</c:v>
                </c:pt>
                <c:pt idx="26">
                  <c:v>2.1706415381425481E-2</c:v>
                </c:pt>
                <c:pt idx="27">
                  <c:v>2.061380909903316E-2</c:v>
                </c:pt>
                <c:pt idx="28">
                  <c:v>2.4702115522805986E-2</c:v>
                </c:pt>
                <c:pt idx="29">
                  <c:v>2.6726966576584667E-2</c:v>
                </c:pt>
                <c:pt idx="30">
                  <c:v>1.1785853712278993E-2</c:v>
                </c:pt>
                <c:pt idx="31">
                  <c:v>1.8454126220077454E-2</c:v>
                </c:pt>
                <c:pt idx="32">
                  <c:v>1.8894634597222994E-2</c:v>
                </c:pt>
                <c:pt idx="33">
                  <c:v>1.9559397456486445E-2</c:v>
                </c:pt>
                <c:pt idx="34">
                  <c:v>3.002144011881799E-2</c:v>
                </c:pt>
                <c:pt idx="35">
                  <c:v>2.5548848707184654E-2</c:v>
                </c:pt>
                <c:pt idx="36">
                  <c:v>8.5831532785946608E-3</c:v>
                </c:pt>
                <c:pt idx="37">
                  <c:v>1.3006450734975059E-2</c:v>
                </c:pt>
                <c:pt idx="38">
                  <c:v>1.5735034632829544E-2</c:v>
                </c:pt>
                <c:pt idx="39">
                  <c:v>2.728583897854484E-3</c:v>
                </c:pt>
                <c:pt idx="40">
                  <c:v>2.728583897854484E-3</c:v>
                </c:pt>
                <c:pt idx="41">
                  <c:v>2.728583897854484E-3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152-4048-B801-66B8476D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/>
      </c:barChart>
      <c:lineChart>
        <c:grouping val="standard"/>
        <c:varyColors val="0"/>
        <c:ser>
          <c:idx val="2"/>
          <c:order val="1"/>
          <c:tx>
            <c:v>Plan Acumulado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S'!$F$3:$F$44</c:f>
              <c:numCache>
                <c:formatCode>0.0%</c:formatCode>
                <c:ptCount val="42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 formatCode="0.00%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0.19798457691318069</c:v>
                </c:pt>
                <c:pt idx="9">
                  <c:v>0.26109576524719041</c:v>
                </c:pt>
                <c:pt idx="10">
                  <c:v>0.30338120712107741</c:v>
                </c:pt>
                <c:pt idx="11">
                  <c:v>0.36649239545508722</c:v>
                </c:pt>
                <c:pt idx="12">
                  <c:v>0.40877783732897421</c:v>
                </c:pt>
                <c:pt idx="13">
                  <c:v>0.48065720480928198</c:v>
                </c:pt>
                <c:pt idx="14">
                  <c:v>0.5338550168678835</c:v>
                </c:pt>
                <c:pt idx="15">
                  <c:v>0.55646177603455538</c:v>
                </c:pt>
                <c:pt idx="16">
                  <c:v>0.57501932969960379</c:v>
                </c:pt>
                <c:pt idx="17">
                  <c:v>0.58598936034829041</c:v>
                </c:pt>
                <c:pt idx="18">
                  <c:v>0.63020257055733719</c:v>
                </c:pt>
                <c:pt idx="19">
                  <c:v>0.64352272351741613</c:v>
                </c:pt>
                <c:pt idx="20">
                  <c:v>0.65577037941565908</c:v>
                </c:pt>
                <c:pt idx="21">
                  <c:v>0.67647940683655694</c:v>
                </c:pt>
                <c:pt idx="22">
                  <c:v>0.69652793341555153</c:v>
                </c:pt>
                <c:pt idx="23">
                  <c:v>0.71428277696519449</c:v>
                </c:pt>
                <c:pt idx="24">
                  <c:v>0.73203762051483745</c:v>
                </c:pt>
                <c:pt idx="25">
                  <c:v>0.73647600226811927</c:v>
                </c:pt>
                <c:pt idx="26">
                  <c:v>0.75818241764954475</c:v>
                </c:pt>
                <c:pt idx="27">
                  <c:v>0.77879622674857796</c:v>
                </c:pt>
                <c:pt idx="28">
                  <c:v>0.80349834227138395</c:v>
                </c:pt>
                <c:pt idx="29">
                  <c:v>0.83022530884796863</c:v>
                </c:pt>
                <c:pt idx="30">
                  <c:v>0.84201116256024766</c:v>
                </c:pt>
                <c:pt idx="31">
                  <c:v>0.86046528878032513</c:v>
                </c:pt>
                <c:pt idx="32">
                  <c:v>0.87935992337754809</c:v>
                </c:pt>
                <c:pt idx="33">
                  <c:v>0.89891932083403447</c:v>
                </c:pt>
                <c:pt idx="34">
                  <c:v>0.92894076095285238</c:v>
                </c:pt>
                <c:pt idx="35">
                  <c:v>0.95448960966003704</c:v>
                </c:pt>
                <c:pt idx="36">
                  <c:v>0.96307276293863175</c:v>
                </c:pt>
                <c:pt idx="37">
                  <c:v>0.97607921367360684</c:v>
                </c:pt>
                <c:pt idx="38">
                  <c:v>0.99181424830643639</c:v>
                </c:pt>
                <c:pt idx="39">
                  <c:v>0.99454283220429085</c:v>
                </c:pt>
                <c:pt idx="40">
                  <c:v>0.99727141610214542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52-4048-B801-66B8476DC1F3}"/>
            </c:ext>
          </c:extLst>
        </c:ser>
        <c:ser>
          <c:idx val="3"/>
          <c:order val="3"/>
          <c:tx>
            <c:v>Exe Acumulado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S'!$J$3:$J$44</c:f>
              <c:numCache>
                <c:formatCode>0.0%</c:formatCode>
                <c:ptCount val="42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 formatCode="0.00%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0.1556991350392937</c:v>
                </c:pt>
                <c:pt idx="9">
                  <c:v>0.19798457691318069</c:v>
                </c:pt>
                <c:pt idx="10">
                  <c:v>0.26109576524719041</c:v>
                </c:pt>
                <c:pt idx="11">
                  <c:v>0.30338120712107741</c:v>
                </c:pt>
                <c:pt idx="12">
                  <c:v>0.36649239545508722</c:v>
                </c:pt>
                <c:pt idx="13">
                  <c:v>0.36649239545508722</c:v>
                </c:pt>
                <c:pt idx="14">
                  <c:v>0.41754601647527212</c:v>
                </c:pt>
                <c:pt idx="15">
                  <c:v>0.53449629950691968</c:v>
                </c:pt>
                <c:pt idx="16">
                  <c:v>0.55710305867359167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52-4048-B801-66B8476DC1F3}"/>
            </c:ext>
          </c:extLst>
        </c:ser>
        <c:ser>
          <c:idx val="4"/>
          <c:order val="4"/>
          <c:tx>
            <c:v>Projeção Acumulado</c:v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'CURVA S'!$N$3:$N$47</c:f>
              <c:numCache>
                <c:formatCode>0.0%</c:formatCode>
                <c:ptCount val="45"/>
                <c:pt idx="16">
                  <c:v>0.55710305867359167</c:v>
                </c:pt>
                <c:pt idx="17">
                  <c:v>0.56651252045892608</c:v>
                </c:pt>
                <c:pt idx="18">
                  <c:v>0.60959597649486319</c:v>
                </c:pt>
                <c:pt idx="19">
                  <c:v>0.62404110271254765</c:v>
                </c:pt>
                <c:pt idx="20">
                  <c:v>0.63653283949305806</c:v>
                </c:pt>
                <c:pt idx="21">
                  <c:v>0.64573661424510265</c:v>
                </c:pt>
                <c:pt idx="22">
                  <c:v>0.67581890599465344</c:v>
                </c:pt>
                <c:pt idx="23">
                  <c:v>0.6965279334155513</c:v>
                </c:pt>
                <c:pt idx="24">
                  <c:v>0.71428277696519427</c:v>
                </c:pt>
                <c:pt idx="25">
                  <c:v>0.73203762051483723</c:v>
                </c:pt>
                <c:pt idx="26">
                  <c:v>0.73647600226811905</c:v>
                </c:pt>
                <c:pt idx="27">
                  <c:v>0.75818241764954453</c:v>
                </c:pt>
                <c:pt idx="28">
                  <c:v>0.78288453317235063</c:v>
                </c:pt>
                <c:pt idx="29">
                  <c:v>0.80811428703807575</c:v>
                </c:pt>
                <c:pt idx="30">
                  <c:v>0.83481096872355076</c:v>
                </c:pt>
                <c:pt idx="31">
                  <c:v>0.84696704381456311</c:v>
                </c:pt>
                <c:pt idx="32">
                  <c:v>0.86586167841178607</c:v>
                </c:pt>
                <c:pt idx="33">
                  <c:v>0.88691828857913213</c:v>
                </c:pt>
                <c:pt idx="34">
                  <c:v>0.91929693435289783</c:v>
                </c:pt>
                <c:pt idx="35">
                  <c:v>0.94771272099087878</c:v>
                </c:pt>
                <c:pt idx="36">
                  <c:v>0.96307276293863175</c:v>
                </c:pt>
                <c:pt idx="37">
                  <c:v>0.97607921367360684</c:v>
                </c:pt>
                <c:pt idx="38">
                  <c:v>0.99148843635118833</c:v>
                </c:pt>
                <c:pt idx="39">
                  <c:v>0.99389120829379496</c:v>
                </c:pt>
                <c:pt idx="40">
                  <c:v>0.99694560414689748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7-4670-9B32-C7E2515D9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semana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93206511048673E-2"/>
          <c:y val="6.5225481025337775E-2"/>
          <c:w val="0.79292952123679572"/>
          <c:h val="0.77082177947056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'FLUXO DE CAIXA'!$C$10</c:f>
              <c:strCache>
                <c:ptCount val="1"/>
                <c:pt idx="0">
                  <c:v>SALDO OPERACIONAL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D7-4000-A590-58AAAC8D470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D7-4000-A590-58AAAC8D470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D7-4000-A590-58AAAC8D470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DD7-4000-A590-58AAAC8D470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D7-4000-A590-58AAAC8D470F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DD7-4000-A590-58AAAC8D470F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DD7-4000-A590-58AAAC8D470F}"/>
              </c:ext>
            </c:extLst>
          </c:dPt>
          <c:cat>
            <c:numRef>
              <c:f>'FLUXO DE CAIXA'!$D$6:$U$6</c:f>
              <c:numCache>
                <c:formatCode>[$-416]mmm\-yy;@</c:formatCode>
                <c:ptCount val="1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</c:numCache>
            </c:numRef>
          </c:cat>
          <c:val>
            <c:numRef>
              <c:f>'FLUXO DE CAIXA'!$D$10:$U$10</c:f>
              <c:numCache>
                <c:formatCode>#,##0</c:formatCode>
                <c:ptCount val="18"/>
                <c:pt idx="0">
                  <c:v>-130800</c:v>
                </c:pt>
                <c:pt idx="1">
                  <c:v>68253.403578137368</c:v>
                </c:pt>
                <c:pt idx="2">
                  <c:v>60753.844168161624</c:v>
                </c:pt>
                <c:pt idx="3">
                  <c:v>44476.349908123084</c:v>
                </c:pt>
                <c:pt idx="4">
                  <c:v>165379.21757033217</c:v>
                </c:pt>
                <c:pt idx="5">
                  <c:v>175993.488274651</c:v>
                </c:pt>
                <c:pt idx="6">
                  <c:v>177041.47639730299</c:v>
                </c:pt>
                <c:pt idx="7">
                  <c:v>34785.726477946388</c:v>
                </c:pt>
                <c:pt idx="8">
                  <c:v>-7535.5628293311747</c:v>
                </c:pt>
                <c:pt idx="9">
                  <c:v>24528.725130581995</c:v>
                </c:pt>
                <c:pt idx="10">
                  <c:v>13115.520903696917</c:v>
                </c:pt>
                <c:pt idx="11">
                  <c:v>-49239.731467746649</c:v>
                </c:pt>
                <c:pt idx="12">
                  <c:v>-19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D7-4000-A590-58AAAC8D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934160"/>
        <c:axId val="771941232"/>
      </c:barChart>
      <c:lineChart>
        <c:grouping val="stacked"/>
        <c:varyColors val="0"/>
        <c:ser>
          <c:idx val="1"/>
          <c:order val="1"/>
          <c:tx>
            <c:v>SALDO FINAL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'FLUXO DE CAIXA'!$D$11:$U$11</c:f>
              <c:numCache>
                <c:formatCode>#,##0</c:formatCode>
                <c:ptCount val="18"/>
                <c:pt idx="0">
                  <c:v>-130800</c:v>
                </c:pt>
                <c:pt idx="1">
                  <c:v>-62546.596421862632</c:v>
                </c:pt>
                <c:pt idx="2">
                  <c:v>-1792.7522537010082</c:v>
                </c:pt>
                <c:pt idx="3">
                  <c:v>42683.597654422076</c:v>
                </c:pt>
                <c:pt idx="4">
                  <c:v>208062.81522475425</c:v>
                </c:pt>
                <c:pt idx="5">
                  <c:v>384056.30349940527</c:v>
                </c:pt>
                <c:pt idx="6">
                  <c:v>561097.77989670821</c:v>
                </c:pt>
                <c:pt idx="7">
                  <c:v>595883.50637465459</c:v>
                </c:pt>
                <c:pt idx="8">
                  <c:v>588347.94354532345</c:v>
                </c:pt>
                <c:pt idx="9">
                  <c:v>612876.66867590544</c:v>
                </c:pt>
                <c:pt idx="10">
                  <c:v>625992.18957960233</c:v>
                </c:pt>
                <c:pt idx="11">
                  <c:v>576752.45811185567</c:v>
                </c:pt>
                <c:pt idx="12">
                  <c:v>576733.45811185567</c:v>
                </c:pt>
                <c:pt idx="13">
                  <c:v>576733.45811185567</c:v>
                </c:pt>
                <c:pt idx="14">
                  <c:v>576733.45811185567</c:v>
                </c:pt>
                <c:pt idx="15">
                  <c:v>576733.45811185567</c:v>
                </c:pt>
                <c:pt idx="16">
                  <c:v>576733.45811185567</c:v>
                </c:pt>
                <c:pt idx="17">
                  <c:v>576733.45811185567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DD7-4000-A590-58AAAC8D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934160"/>
        <c:axId val="771941232"/>
      </c:lineChart>
      <c:dateAx>
        <c:axId val="771934160"/>
        <c:scaling>
          <c:orientation val="minMax"/>
        </c:scaling>
        <c:delete val="0"/>
        <c:axPos val="b"/>
        <c:numFmt formatCode="[$-416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41232"/>
        <c:crosses val="autoZero"/>
        <c:auto val="1"/>
        <c:lblOffset val="100"/>
        <c:baseTimeUnit val="months"/>
      </c:dateAx>
      <c:valAx>
        <c:axId val="77194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341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94991335937255"/>
          <c:y val="0.38418866292970821"/>
          <c:w val="9.4408577936286792E-2"/>
          <c:h val="0.16371269725594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ENTRADA X SAÍDA</a:t>
            </a:r>
          </a:p>
        </c:rich>
      </c:tx>
      <c:layout>
        <c:manualLayout>
          <c:xMode val="edge"/>
          <c:yMode val="edge"/>
          <c:x val="2.2397687299837283E-2"/>
          <c:y val="4.9301194389368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188510568448367E-2"/>
          <c:y val="0.2082476597094591"/>
          <c:w val="0.87098299253744504"/>
          <c:h val="0.61454169401189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'FLUXO DE CAIXA'!$C$7</c:f>
              <c:strCache>
                <c:ptCount val="1"/>
                <c:pt idx="0">
                  <c:v>ENTRADA (+)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'FLUXO DE CAIXA'!$D$6:$U$6</c:f>
              <c:numCache>
                <c:formatCode>[$-416]mmm\-yy;@</c:formatCode>
                <c:ptCount val="1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</c:numCache>
            </c:numRef>
          </c:cat>
          <c:val>
            <c:numRef>
              <c:f>'FLUXO DE CAIXA'!$D$7:$U$7</c:f>
              <c:numCache>
                <c:formatCode>#,##0</c:formatCode>
                <c:ptCount val="18"/>
                <c:pt idx="0">
                  <c:v>0</c:v>
                </c:pt>
                <c:pt idx="1">
                  <c:v>200000</c:v>
                </c:pt>
                <c:pt idx="2">
                  <c:v>200000</c:v>
                </c:pt>
                <c:pt idx="3">
                  <c:v>400000</c:v>
                </c:pt>
                <c:pt idx="4">
                  <c:v>600000</c:v>
                </c:pt>
                <c:pt idx="5">
                  <c:v>600000</c:v>
                </c:pt>
                <c:pt idx="6">
                  <c:v>400000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6-43D0-A69F-C02A50253F4A}"/>
            </c:ext>
          </c:extLst>
        </c:ser>
        <c:ser>
          <c:idx val="1"/>
          <c:order val="1"/>
          <c:tx>
            <c:strRef>
              <c:f>'FLUXO DE CAIXA'!$C$8</c:f>
              <c:strCache>
                <c:ptCount val="1"/>
                <c:pt idx="0">
                  <c:v>SAÍDA (-)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'FLUXO DE CAIXA'!$D$6:$U$6</c:f>
              <c:numCache>
                <c:formatCode>[$-416]mmm\-yy;@</c:formatCode>
                <c:ptCount val="1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</c:numCache>
            </c:numRef>
          </c:cat>
          <c:val>
            <c:numRef>
              <c:f>'FLUXO DE CAIXA'!$D$8:$U$8</c:f>
              <c:numCache>
                <c:formatCode>#,##0</c:formatCode>
                <c:ptCount val="18"/>
                <c:pt idx="0">
                  <c:v>130800</c:v>
                </c:pt>
                <c:pt idx="1">
                  <c:v>131746.59642186263</c:v>
                </c:pt>
                <c:pt idx="2">
                  <c:v>139246.15583183838</c:v>
                </c:pt>
                <c:pt idx="3">
                  <c:v>355523.65009187692</c:v>
                </c:pt>
                <c:pt idx="4">
                  <c:v>434620.78242966783</c:v>
                </c:pt>
                <c:pt idx="5">
                  <c:v>424006.511725349</c:v>
                </c:pt>
                <c:pt idx="6">
                  <c:v>222958.52360269701</c:v>
                </c:pt>
                <c:pt idx="7">
                  <c:v>165214.27352205361</c:v>
                </c:pt>
                <c:pt idx="8">
                  <c:v>207535.56282933117</c:v>
                </c:pt>
                <c:pt idx="9">
                  <c:v>175471.274869418</c:v>
                </c:pt>
                <c:pt idx="10">
                  <c:v>186884.47909630308</c:v>
                </c:pt>
                <c:pt idx="11">
                  <c:v>49239.731467746649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6-43D0-A69F-C02A5025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956208"/>
        <c:axId val="771950800"/>
      </c:barChart>
      <c:dateAx>
        <c:axId val="771956208"/>
        <c:scaling>
          <c:orientation val="minMax"/>
        </c:scaling>
        <c:delete val="0"/>
        <c:axPos val="b"/>
        <c:numFmt formatCode="[$-416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50800"/>
        <c:crosses val="autoZero"/>
        <c:auto val="1"/>
        <c:lblOffset val="100"/>
        <c:baseTimeUnit val="months"/>
      </c:dateAx>
      <c:valAx>
        <c:axId val="77195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562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176893</xdr:colOff>
      <xdr:row>0</xdr:row>
      <xdr:rowOff>176892</xdr:rowOff>
    </xdr:from>
    <xdr:to>
      <xdr:col>39</xdr:col>
      <xdr:colOff>449036</xdr:colOff>
      <xdr:row>29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A34F32-51E1-4180-9FA3-DFDC558E0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1387929</xdr:colOff>
      <xdr:row>22</xdr:row>
      <xdr:rowOff>57150</xdr:rowOff>
    </xdr:from>
    <xdr:to>
      <xdr:col>23</xdr:col>
      <xdr:colOff>470647</xdr:colOff>
      <xdr:row>36</xdr:row>
      <xdr:rowOff>100853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2ABCC1-396E-4467-A9BD-9014EBB6F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1374322</xdr:colOff>
      <xdr:row>11</xdr:row>
      <xdr:rowOff>143557</xdr:rowOff>
    </xdr:from>
    <xdr:to>
      <xdr:col>22</xdr:col>
      <xdr:colOff>653144</xdr:colOff>
      <xdr:row>21</xdr:row>
      <xdr:rowOff>176895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50914B-6D68-4B4C-81E3-CB77DBFB8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538.466777314818" createdVersion="7" refreshedVersion="7" minRefreshableVersion="3" recordCount="119" xr:uid="{A55F8773-F030-4959-B3F8-C96C849093B7}">
  <cacheSource type="worksheet">
    <worksheetSource ref="A2:S121" sheet="BANCO DE DADOS"/>
  </cacheSource>
  <cacheFields count="20">
    <cacheField name="Código" numFmtId="0">
      <sharedItems containsMixedTypes="1" containsNumber="1" containsInteger="1" minValue="1" maxValue="2"/>
    </cacheField>
    <cacheField name="Nome" numFmtId="0">
      <sharedItems/>
    </cacheField>
    <cacheField name="Macro Etapa" numFmtId="0">
      <sharedItems containsBlank="1" count="2">
        <m/>
        <s v="GERAL"/>
      </sharedItems>
    </cacheField>
    <cacheField name="Rede" numFmtId="0">
      <sharedItems containsBlank="1" count="5">
        <m/>
        <s v="FUNDAÇÃO"/>
        <s v="TIPO"/>
        <s v="COBERTURA"/>
        <s v="FACHADA"/>
      </sharedItems>
    </cacheField>
    <cacheField name="Duração" numFmtId="0">
      <sharedItems/>
    </cacheField>
    <cacheField name="Planej. Inicial" numFmtId="14">
      <sharedItems containsSemiMixedTypes="0" containsNonDate="0" containsDate="1" containsString="0" minDate="2021-11-22T00:00:00" maxDate="2022-09-07T00:00:00"/>
    </cacheField>
    <cacheField name="Planej. Final" numFmtId="14">
      <sharedItems containsSemiMixedTypes="0" containsNonDate="0" containsDate="1" containsString="0" minDate="2021-11-26T00:00:00" maxDate="2022-09-10T00:00:00"/>
    </cacheField>
    <cacheField name="Início" numFmtId="0">
      <sharedItems containsNonDate="0" containsString="0" containsBlank="1"/>
    </cacheField>
    <cacheField name="Fim" numFmtId="0">
      <sharedItems containsNonDate="0" containsString="0" containsBlank="1"/>
    </cacheField>
    <cacheField name="Custo" numFmtId="8">
      <sharedItems containsSemiMixedTypes="0" containsString="0" containsNumber="1" containsInteger="1" minValue="0" maxValue="0"/>
    </cacheField>
    <cacheField name="Custo M.O" numFmtId="8">
      <sharedItems containsSemiMixedTypes="0" containsString="0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9">
      <sharedItems containsSemiMixedTypes="0" containsString="0" containsNumber="1" containsInteger="1" minValue="0" maxValue="0"/>
    </cacheField>
    <cacheField name="QTDE" numFmtId="0">
      <sharedItems containsBlank="1" containsMixedTypes="1" containsNumber="1" minValue="0.25" maxValue="614.55999999999995"/>
    </cacheField>
    <cacheField name="UND" numFmtId="0">
      <sharedItems containsBlank="1"/>
    </cacheField>
    <cacheField name="R$ UNITARIO" numFmtId="44">
      <sharedItems containsString="0" containsBlank="1" containsNumber="1" minValue="6" maxValue="13455.889210118192"/>
    </cacheField>
    <cacheField name="TOTAL" numFmtId="0">
      <sharedItems containsString="0" containsBlank="1" containsNumber="1" minValue="0" maxValue="96852.167818661153"/>
    </cacheField>
    <cacheField name="SEM.INICIO" numFmtId="0">
      <sharedItems containsSemiMixedTypes="0" containsString="0" containsNumber="1" containsInteger="1" minValue="1" maxValue="42"/>
    </cacheField>
    <cacheField name="SEM.FM" numFmtId="0">
      <sharedItems containsSemiMixedTypes="0" containsString="0" containsNumber="1" containsInteger="1" minValue="1" maxValue="42" count="40">
        <n v="42"/>
        <n v="7"/>
        <n v="1"/>
        <n v="3"/>
        <n v="4"/>
        <n v="5"/>
        <n v="39"/>
        <n v="8"/>
        <n v="9"/>
        <n v="14"/>
        <n v="16"/>
        <n v="19"/>
        <n v="20"/>
        <n v="22"/>
        <n v="24"/>
        <n v="27"/>
        <n v="28"/>
        <n v="30"/>
        <n v="31"/>
        <n v="32"/>
        <n v="34"/>
        <n v="35"/>
        <n v="36"/>
        <n v="38"/>
        <n v="40"/>
        <n v="10"/>
        <n v="11"/>
        <n v="15"/>
        <n v="17"/>
        <n v="21"/>
        <n v="23"/>
        <n v="25"/>
        <n v="29"/>
        <n v="33"/>
        <n v="37"/>
        <n v="41"/>
        <n v="12"/>
        <n v="13"/>
        <n v="18"/>
        <n v="2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538.546720023151" createdVersion="7" refreshedVersion="7" minRefreshableVersion="3" recordCount="119" xr:uid="{856886C8-B2DF-4FB5-A96A-1FAA402CC755}">
  <cacheSource type="worksheet">
    <worksheetSource ref="A2:Y121" sheet="BANCO DE DADOS"/>
  </cacheSource>
  <cacheFields count="25">
    <cacheField name="Código" numFmtId="0">
      <sharedItems containsMixedTypes="1" containsNumber="1" containsInteger="1" minValue="1" maxValue="2"/>
    </cacheField>
    <cacheField name="Nome" numFmtId="0">
      <sharedItems/>
    </cacheField>
    <cacheField name="Macro Etapa" numFmtId="0">
      <sharedItems containsBlank="1"/>
    </cacheField>
    <cacheField name="Rede" numFmtId="0">
      <sharedItems containsBlank="1" count="5">
        <m/>
        <s v="FUNDAÇÃO"/>
        <s v="TIPO"/>
        <s v="COBERTURA"/>
        <s v="FACHADA"/>
      </sharedItems>
    </cacheField>
    <cacheField name="Duração" numFmtId="0">
      <sharedItems/>
    </cacheField>
    <cacheField name="Planej. Inicial" numFmtId="14">
      <sharedItems containsSemiMixedTypes="0" containsNonDate="0" containsDate="1" containsString="0" minDate="2021-11-22T00:00:00" maxDate="2022-09-07T00:00:00"/>
    </cacheField>
    <cacheField name="Planej. Final" numFmtId="14">
      <sharedItems containsSemiMixedTypes="0" containsNonDate="0" containsDate="1" containsString="0" minDate="2021-11-26T00:00:00" maxDate="2022-09-10T00:00:00"/>
    </cacheField>
    <cacheField name="Início" numFmtId="0">
      <sharedItems containsNonDate="0" containsString="0" containsBlank="1"/>
    </cacheField>
    <cacheField name="Fim" numFmtId="0">
      <sharedItems containsNonDate="0" containsString="0" containsBlank="1"/>
    </cacheField>
    <cacheField name="QTDE" numFmtId="0">
      <sharedItems containsBlank="1" containsMixedTypes="1" containsNumber="1" minValue="0.25" maxValue="614.55999999999995"/>
    </cacheField>
    <cacheField name="UND" numFmtId="0">
      <sharedItems containsBlank="1"/>
    </cacheField>
    <cacheField name="R$ UNITARIO" numFmtId="44">
      <sharedItems containsString="0" containsBlank="1" containsNumber="1" minValue="6" maxValue="13455.889210118192"/>
    </cacheField>
    <cacheField name="TOTAL" numFmtId="0">
      <sharedItems containsString="0" containsBlank="1" containsNumber="1" minValue="0" maxValue="96852.167818661153"/>
    </cacheField>
    <cacheField name="SEM.INICIO" numFmtId="0">
      <sharedItems containsSemiMixedTypes="0" containsString="0" containsNumber="1" containsInteger="1" minValue="1" maxValue="42"/>
    </cacheField>
    <cacheField name="SEM.FM" numFmtId="0">
      <sharedItems containsSemiMixedTypes="0" containsString="0" containsNumber="1" containsInteger="1" minValue="1" maxValue="42"/>
    </cacheField>
    <cacheField name="% MATERIAL" numFmtId="9">
      <sharedItems containsString="0" containsBlank="1" containsNumber="1" minValue="0.13858702989570013" maxValue="1"/>
    </cacheField>
    <cacheField name="% MÃO DE OBRA" numFmtId="9">
      <sharedItems containsString="0" containsBlank="1" containsNumber="1" minValue="0" maxValue="0.86141297010429985"/>
    </cacheField>
    <cacheField name="R$ MAT" numFmtId="0">
      <sharedItems containsString="0" containsBlank="1" containsNumber="1" minValue="0" maxValue="27119.661751006275"/>
    </cacheField>
    <cacheField name="R$ MO" numFmtId="0">
      <sharedItems containsString="0" containsBlank="1" containsNumber="1" minValue="0" maxValue="83429.71354171299"/>
    </cacheField>
    <cacheField name="MAT -15 DIAS" numFmtId="0">
      <sharedItems containsNonDate="0" containsDate="1" containsString="0" containsBlank="1" minDate="2021-11-07T00:00:00" maxDate="2022-08-23T00:00:00" count="56">
        <m/>
        <d v="2021-11-07T00:00:00"/>
        <d v="2021-11-14T00:00:00"/>
        <d v="2021-11-28T00:00:00"/>
        <d v="2021-12-05T00:00:00"/>
        <d v="2021-12-12T00:00:00"/>
        <d v="2021-12-20T00:00:00"/>
        <d v="2021-12-27T00:00:00"/>
        <d v="2022-01-31T00:00:00"/>
        <d v="2022-02-14T00:00:00"/>
        <d v="2022-03-14T00:00:00"/>
        <d v="2022-03-16T00:00:00"/>
        <d v="2022-03-30T00:00:00"/>
        <d v="2022-04-13T00:00:00"/>
        <d v="2022-05-04T00:00:00"/>
        <d v="2022-05-11T00:00:00"/>
        <d v="2022-05-25T00:00:00"/>
        <d v="2022-06-01T00:00:00"/>
        <d v="2022-06-08T00:00:00"/>
        <d v="2022-06-27T00:00:00"/>
        <d v="2022-06-29T00:00:00"/>
        <d v="2022-07-04T00:00:00"/>
        <d v="2022-07-20T00:00:00"/>
        <d v="2022-07-25T00:00:00"/>
        <d v="2022-08-01T00:00:00"/>
        <d v="2022-01-03T00:00:00"/>
        <d v="2022-01-10T00:00:00"/>
        <d v="2022-02-07T00:00:00"/>
        <d v="2022-02-21T00:00:00"/>
        <d v="2022-03-23T00:00:00"/>
        <d v="2022-04-06T00:00:00"/>
        <d v="2022-04-20T00:00:00"/>
        <d v="2022-05-18T00:00:00"/>
        <d v="2022-06-15T00:00:00"/>
        <d v="2022-07-11T00:00:00"/>
        <d v="2022-08-08T00:00:00"/>
        <d v="2022-01-17T00:00:00"/>
        <d v="2022-01-24T00:00:00"/>
        <d v="2022-02-28T00:00:00"/>
        <d v="2022-03-21T00:00:00"/>
        <d v="2022-04-27T00:00:00"/>
        <d v="2022-06-22T00:00:00"/>
        <d v="2022-07-06T00:00:00"/>
        <d v="2022-07-18T00:00:00"/>
        <d v="2022-07-27T00:00:00"/>
        <d v="2022-08-15T00:00:00"/>
        <d v="2022-03-07T00:00:00"/>
        <d v="2022-08-22T00:00:00"/>
        <d v="2022-04-04T00:00:00"/>
        <d v="2022-05-19T00:00:00"/>
        <d v="2022-05-26T00:00:00"/>
        <d v="2022-06-02T00:00:00"/>
        <d v="2022-06-09T00:00:00"/>
        <d v="2022-06-16T00:00:00"/>
        <d v="2022-03-28T00:00:00"/>
        <d v="2022-06-23T00:00:00"/>
      </sharedItems>
      <fieldGroup par="22" base="19">
        <rangePr groupBy="months" startDate="2021-11-07T00:00:00" endDate="2022-08-23T00:00:00"/>
        <groupItems count="14">
          <s v="(vazio)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3/08/2022"/>
        </groupItems>
      </fieldGroup>
    </cacheField>
    <cacheField name="MO + 15 DIAS" numFmtId="0">
      <sharedItems containsNonDate="0" containsDate="1" containsString="0" containsBlank="1" minDate="2021-12-11T00:00:00" maxDate="2022-09-25T00:00:00" count="57">
        <m/>
        <d v="2021-12-11T00:00:00"/>
        <d v="2021-12-25T00:00:00"/>
        <d v="2022-01-01T00:00:00"/>
        <d v="2022-01-08T00:00:00"/>
        <d v="2022-01-18T00:00:00"/>
        <d v="2022-09-02T00:00:00"/>
        <d v="2022-01-25T00:00:00"/>
        <d v="2022-02-01T00:00:00"/>
        <d v="2022-03-08T00:00:00"/>
        <d v="2022-03-22T00:00:00"/>
        <d v="2022-04-15T00:00:00"/>
        <d v="2022-04-22T00:00:00"/>
        <d v="2022-05-06T00:00:00"/>
        <d v="2022-05-20T00:00:00"/>
        <d v="2022-06-10T00:00:00"/>
        <d v="2022-06-17T00:00:00"/>
        <d v="2022-07-01T00:00:00"/>
        <d v="2022-07-05T00:00:00"/>
        <d v="2022-07-08T00:00:00"/>
        <d v="2022-07-15T00:00:00"/>
        <d v="2022-07-29T00:00:00"/>
        <d v="2022-08-02T00:00:00"/>
        <d v="2022-08-09T00:00:00"/>
        <d v="2022-08-23T00:00:00"/>
        <d v="2022-08-30T00:00:00"/>
        <d v="2022-09-09T00:00:00"/>
        <d v="2022-02-08T00:00:00"/>
        <d v="2022-02-15T00:00:00"/>
        <d v="2022-03-15T00:00:00"/>
        <d v="2022-03-29T00:00:00"/>
        <d v="2022-04-19T00:00:00"/>
        <d v="2022-04-29T00:00:00"/>
        <d v="2022-05-13T00:00:00"/>
        <d v="2022-05-27T00:00:00"/>
        <d v="2022-06-24T00:00:00"/>
        <d v="2022-07-12T00:00:00"/>
        <d v="2022-07-22T00:00:00"/>
        <d v="2022-08-05T00:00:00"/>
        <d v="2022-08-16T00:00:00"/>
        <d v="2022-08-26T00:00:00"/>
        <d v="2022-09-06T00:00:00"/>
        <d v="2022-09-16T00:00:00"/>
        <d v="2022-02-22T00:00:00"/>
        <d v="2022-03-01T00:00:00"/>
        <d v="2022-04-05T00:00:00"/>
        <d v="2022-06-03T00:00:00"/>
        <d v="2022-07-19T00:00:00"/>
        <d v="2022-09-13T00:00:00"/>
        <d v="2022-09-24T00:00:00"/>
        <d v="2022-04-12T00:00:00"/>
        <d v="2022-04-26T00:00:00"/>
        <d v="2022-07-26T00:00:00"/>
        <d v="2022-08-12T00:00:00"/>
        <d v="2022-09-20T00:00:00"/>
        <d v="2022-05-10T00:00:00"/>
        <d v="2022-05-03T00:00:00"/>
      </sharedItems>
      <fieldGroup par="24" base="20">
        <rangePr groupBy="months" startDate="2021-12-11T00:00:00" endDate="2022-09-25T00:00:00"/>
        <groupItems count="14">
          <s v="(vazio)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5/09/2022"/>
        </groupItems>
      </fieldGroup>
    </cacheField>
    <cacheField name="Trimestres" numFmtId="0" databaseField="0">
      <fieldGroup base="19">
        <rangePr groupBy="quarters" startDate="2021-11-07T00:00:00" endDate="2022-08-23T00:00:00"/>
        <groupItems count="6">
          <s v="&lt;07/11/2021"/>
          <s v="Trim1"/>
          <s v="Trim2"/>
          <s v="Trim3"/>
          <s v="Trim4"/>
          <s v="&gt;23/08/2022"/>
        </groupItems>
      </fieldGroup>
    </cacheField>
    <cacheField name="Anos" numFmtId="0" databaseField="0">
      <fieldGroup base="19">
        <rangePr groupBy="years" startDate="2021-11-07T00:00:00" endDate="2022-08-23T00:00:00"/>
        <groupItems count="4">
          <s v="&lt;07/11/2021"/>
          <s v="2021"/>
          <s v="2022"/>
          <s v="&gt;23/08/2022"/>
        </groupItems>
      </fieldGroup>
    </cacheField>
    <cacheField name="Trimestres2" numFmtId="0" databaseField="0">
      <fieldGroup base="20">
        <rangePr groupBy="quarters" startDate="2021-12-11T00:00:00" endDate="2022-09-25T00:00:00"/>
        <groupItems count="6">
          <s v="&lt;11/12/2021"/>
          <s v="Trim1"/>
          <s v="Trim2"/>
          <s v="Trim3"/>
          <s v="Trim4"/>
          <s v="&gt;25/09/2022"/>
        </groupItems>
      </fieldGroup>
    </cacheField>
    <cacheField name="Anos2" numFmtId="0" databaseField="0">
      <fieldGroup base="20">
        <rangePr groupBy="years" startDate="2021-12-11T00:00:00" endDate="2022-09-25T00:00:00"/>
        <groupItems count="4">
          <s v="&lt;11/12/2021"/>
          <s v="2021"/>
          <s v="2022"/>
          <s v="&gt;25/09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543.697715046299" createdVersion="7" refreshedVersion="7" minRefreshableVersion="3" recordCount="119" xr:uid="{8CA8F519-C481-4C64-95BE-A9C9F8842A61}">
  <cacheSource type="worksheet">
    <worksheetSource ref="A2:AJ121" sheet="BANCO DE DADOS"/>
  </cacheSource>
  <cacheFields count="36">
    <cacheField name="Código" numFmtId="0">
      <sharedItems containsMixedTypes="1" containsNumber="1" containsInteger="1" minValue="1" maxValue="2"/>
    </cacheField>
    <cacheField name="Nome" numFmtId="0">
      <sharedItems/>
    </cacheField>
    <cacheField name="Macro Etapa" numFmtId="0">
      <sharedItems containsBlank="1"/>
    </cacheField>
    <cacheField name="Rede" numFmtId="0">
      <sharedItems containsBlank="1"/>
    </cacheField>
    <cacheField name="Duração" numFmtId="0">
      <sharedItems/>
    </cacheField>
    <cacheField name="código " numFmtId="0">
      <sharedItems/>
    </cacheField>
    <cacheField name="Planej. Inicial" numFmtId="14">
      <sharedItems containsSemiMixedTypes="0" containsNonDate="0" containsDate="1" containsString="0" minDate="2021-11-22T00:00:00" maxDate="2022-09-07T00:00:00"/>
    </cacheField>
    <cacheField name="Planej. Final" numFmtId="14">
      <sharedItems containsSemiMixedTypes="0" containsNonDate="0" containsDate="1" containsString="0" minDate="2021-11-26T00:00:00" maxDate="2022-09-10T00:00:00"/>
    </cacheField>
    <cacheField name="%" numFmtId="9">
      <sharedItems containsString="0" containsBlank="1" containsNumber="1" containsInteger="1" minValue="1" maxValue="1"/>
    </cacheField>
    <cacheField name="Início exe" numFmtId="0">
      <sharedItems containsNonDate="0" containsDate="1" containsString="0" containsBlank="1" minDate="2021-01-25T00:00:00" maxDate="2022-03-16T00:00:00"/>
    </cacheField>
    <cacheField name="Fim Exe" numFmtId="0">
      <sharedItems containsNonDate="0" containsDate="1" containsString="0" containsBlank="1" minDate="2021-11-26T00:00:00" maxDate="2022-03-20T00:00:00"/>
    </cacheField>
    <cacheField name="Início Exe2" numFmtId="172">
      <sharedItems containsDate="1" containsBlank="1" containsMixedTypes="1" minDate="2022-03-15T00:00:00" maxDate="2022-09-07T00:00:00"/>
    </cacheField>
    <cacheField name="Fim Exe2" numFmtId="0">
      <sharedItems containsDate="1" containsBlank="1" containsMixedTypes="1" minDate="2022-03-21T00:00:00" maxDate="2022-09-10T00:00:00"/>
    </cacheField>
    <cacheField name="QTDE" numFmtId="0">
      <sharedItems containsBlank="1" containsMixedTypes="1" containsNumber="1" minValue="0.25" maxValue="614.55999999999995"/>
    </cacheField>
    <cacheField name="UND" numFmtId="0">
      <sharedItems containsBlank="1"/>
    </cacheField>
    <cacheField name="R$ UNITARIO" numFmtId="44">
      <sharedItems containsString="0" containsBlank="1" containsNumber="1" minValue="6" maxValue="13455.889210118192"/>
    </cacheField>
    <cacheField name="TOTAL" numFmtId="0">
      <sharedItems containsString="0" containsBlank="1" containsNumber="1" minValue="0" maxValue="96852.167818661153"/>
    </cacheField>
    <cacheField name="SEM.INICIO" numFmtId="0">
      <sharedItems containsSemiMixedTypes="0" containsString="0" containsNumber="1" containsInteger="1" minValue="1" maxValue="42"/>
    </cacheField>
    <cacheField name="SEM.FM" numFmtId="0">
      <sharedItems containsSemiMixedTypes="0" containsString="0" containsNumber="1" containsInteger="1" minValue="1" maxValue="42"/>
    </cacheField>
    <cacheField name="% MATERIAL" numFmtId="9">
      <sharedItems containsString="0" containsBlank="1" containsNumber="1" minValue="0.13858702989570013" maxValue="1"/>
    </cacheField>
    <cacheField name="% MÃO DE OBRA" numFmtId="9">
      <sharedItems containsString="0" containsBlank="1" containsNumber="1" minValue="0" maxValue="0.86141297010429985"/>
    </cacheField>
    <cacheField name="R$ MAT" numFmtId="44">
      <sharedItems containsString="0" containsBlank="1" containsNumber="1" minValue="0" maxValue="27119.661751006275"/>
    </cacheField>
    <cacheField name="R$ MO" numFmtId="44">
      <sharedItems containsString="0" containsBlank="1" containsNumber="1" minValue="0" maxValue="83429.71354171299"/>
    </cacheField>
    <cacheField name="MAT -15 DIAS" numFmtId="14">
      <sharedItems containsNonDate="0" containsDate="1" containsString="0" containsBlank="1" minDate="2021-11-07T00:00:00" maxDate="2022-08-23T00:00:00"/>
    </cacheField>
    <cacheField name="MO + 15 DIAS" numFmtId="14">
      <sharedItems containsNonDate="0" containsDate="1" containsString="0" containsBlank="1" minDate="2021-12-11T00:00:00" maxDate="2022-09-25T00:00:00"/>
    </cacheField>
    <cacheField name="LOCALIZAÇÃO" numFmtId="9">
      <sharedItems containsBlank="1"/>
    </cacheField>
    <cacheField name="USER 1" numFmtId="0">
      <sharedItems containsBlank="1"/>
    </cacheField>
    <cacheField name="TASK TYPE" numFmtId="0">
      <sharedItems containsBlank="1"/>
    </cacheField>
    <cacheField name="TASK TYPE2" numFmtId="0">
      <sharedItems containsBlank="1"/>
    </cacheField>
    <cacheField name="% PLANEJADO" numFmtId="0">
      <sharedItems containsString="0" containsBlank="1" containsNumber="1" minValue="0.5" maxValue="1"/>
    </cacheField>
    <cacheField name="R$ PLANEJADO" numFmtId="0">
      <sharedItems containsString="0" containsBlank="1" containsNumber="1" minValue="0" maxValue="96852.167818661153"/>
    </cacheField>
    <cacheField name="SEM FIM EXE" numFmtId="165">
      <sharedItems containsBlank="1" containsMixedTypes="1" containsNumber="1" containsInteger="1" minValue="1" maxValue="17" count="15">
        <m/>
        <n v="1"/>
        <n v="3"/>
        <n v="4"/>
        <n v="5"/>
        <n v="7"/>
        <n v="8"/>
        <n v="10"/>
        <n v="15"/>
        <n v="16"/>
        <s v=""/>
        <n v="11"/>
        <n v="12"/>
        <n v="17"/>
        <n v="13"/>
      </sharedItems>
    </cacheField>
    <cacheField name="R$ EXECUTADO" numFmtId="44">
      <sharedItems containsString="0" containsBlank="1" containsNumber="1" minValue="0" maxValue="96852.167818661153"/>
    </cacheField>
    <cacheField name="SEM. INÍCIO REPLAN" numFmtId="0">
      <sharedItems containsBlank="1" containsMixedTypes="1" containsNumber="1" containsInteger="1" minValue="17" maxValue="42"/>
    </cacheField>
    <cacheField name="SEM. TÉRM REPLAN" numFmtId="0">
      <sharedItems containsBlank="1" containsMixedTypes="1" containsNumber="1" containsInteger="1" minValue="17" maxValue="42" count="28">
        <m/>
        <s v="EXE"/>
        <n v="20"/>
        <n v="21"/>
        <n v="23"/>
        <n v="25"/>
        <n v="28"/>
        <n v="29"/>
        <n v="31"/>
        <n v="32"/>
        <n v="33"/>
        <n v="34"/>
        <n v="35"/>
        <n v="36"/>
        <n v="38"/>
        <n v="39"/>
        <n v="41"/>
        <n v="22"/>
        <n v="24"/>
        <n v="26"/>
        <n v="30"/>
        <n v="37"/>
        <n v="40"/>
        <n v="18"/>
        <n v="27"/>
        <n v="42"/>
        <n v="19"/>
        <n v="17" u="1"/>
      </sharedItems>
    </cacheField>
    <cacheField name="CUSTO REPLAN" numFmtId="43">
      <sharedItems containsString="0" containsBlank="1" containsNumber="1" minValue="0" maxValue="51094.0144781435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1"/>
    <s v="ESTRUTURA/ACABAMENTO"/>
    <x v="0"/>
    <x v="0"/>
    <s v="207.50 dias"/>
    <d v="2021-11-22T00:00:00"/>
    <d v="2022-09-09T00:00:00"/>
    <m/>
    <m/>
    <n v="0"/>
    <n v="0"/>
    <m/>
    <m/>
    <n v="0"/>
    <s v=" "/>
    <m/>
    <m/>
    <m/>
    <n v="1"/>
    <x v="0"/>
  </r>
  <r>
    <s v="1.1"/>
    <s v="FUND"/>
    <x v="0"/>
    <x v="0"/>
    <s v="30.00 dias"/>
    <d v="2021-11-22T00:00:00"/>
    <d v="2022-01-03T00:00:00"/>
    <m/>
    <m/>
    <n v="0"/>
    <n v="0"/>
    <m/>
    <m/>
    <n v="0"/>
    <s v=" "/>
    <m/>
    <m/>
    <m/>
    <n v="1"/>
    <x v="1"/>
  </r>
  <r>
    <s v="1.1.0.1"/>
    <s v="Locação e Gabarito"/>
    <x v="0"/>
    <x v="1"/>
    <s v="5.00 dias"/>
    <d v="2021-11-22T00:00:00"/>
    <d v="2021-11-26T00:00:00"/>
    <m/>
    <m/>
    <n v="0"/>
    <n v="0"/>
    <m/>
    <m/>
    <n v="0"/>
    <n v="74.739999999999995"/>
    <s v="m²"/>
    <n v="36.400132810000002"/>
    <n v="2720.5459262193999"/>
    <n v="1"/>
    <x v="2"/>
  </r>
  <r>
    <s v="1.1.0.2"/>
    <s v="Estacas"/>
    <x v="0"/>
    <x v="1"/>
    <s v="10.00 dias"/>
    <d v="2021-11-29T00:00:00"/>
    <d v="2021-12-10T00:00:00"/>
    <m/>
    <m/>
    <n v="0"/>
    <n v="0"/>
    <m/>
    <m/>
    <n v="0"/>
    <n v="14.82"/>
    <s v="m³"/>
    <n v="2317.9512940424352"/>
    <n v="34352.038177708891"/>
    <n v="2"/>
    <x v="3"/>
  </r>
  <r>
    <s v="1.1.0.3"/>
    <s v="Vigas Baldrames"/>
    <x v="0"/>
    <x v="1"/>
    <s v="5.00 dias"/>
    <d v="2021-12-13T00:00:00"/>
    <d v="2021-12-17T00:00:00"/>
    <m/>
    <m/>
    <n v="0"/>
    <n v="0"/>
    <m/>
    <m/>
    <n v="0"/>
    <n v="18.11"/>
    <s v="m³"/>
    <n v="3866.9904848461024"/>
    <n v="70031.197680562909"/>
    <n v="4"/>
    <x v="4"/>
  </r>
  <r>
    <s v="1.1.0.4"/>
    <s v="Instalações Enterradas"/>
    <x v="0"/>
    <x v="1"/>
    <s v="5.00 dias"/>
    <d v="2021-12-20T00:00:00"/>
    <d v="2021-12-24T00:00:00"/>
    <m/>
    <m/>
    <n v="0"/>
    <n v="0"/>
    <m/>
    <m/>
    <n v="0"/>
    <n v="1"/>
    <s v="torre"/>
    <n v="350"/>
    <n v="350"/>
    <n v="5"/>
    <x v="5"/>
  </r>
  <r>
    <s v="1.1.0.5"/>
    <s v="Contrapiso"/>
    <x v="0"/>
    <x v="1"/>
    <s v="5.00 dias"/>
    <d v="2021-12-27T00:00:00"/>
    <d v="2022-01-03T00:00:00"/>
    <m/>
    <m/>
    <n v="0"/>
    <n v="0"/>
    <m/>
    <m/>
    <n v="0"/>
    <n v="224.41"/>
    <s v="m²"/>
    <n v="155.57182168692589"/>
    <n v="34911.872504763036"/>
    <n v="6"/>
    <x v="1"/>
  </r>
  <r>
    <s v="1.2"/>
    <s v="PAV1"/>
    <x v="0"/>
    <x v="0"/>
    <s v="162.50 dias"/>
    <d v="2022-01-04T00:00:00"/>
    <d v="2022-08-18T00:00:00"/>
    <m/>
    <m/>
    <n v="0"/>
    <n v="0"/>
    <m/>
    <m/>
    <n v="0"/>
    <s v=" "/>
    <m/>
    <m/>
    <m/>
    <n v="7"/>
    <x v="6"/>
  </r>
  <r>
    <s v="1.2.5.3"/>
    <s v="Alvenaria Estrutural"/>
    <x v="0"/>
    <x v="2"/>
    <s v="5.00 dias"/>
    <d v="2022-01-04T00:00:00"/>
    <d v="2022-01-10T00:00:00"/>
    <m/>
    <m/>
    <n v="0"/>
    <n v="0"/>
    <m/>
    <m/>
    <n v="0"/>
    <n v="389.58"/>
    <s v="m²"/>
    <n v="247.89395397660905"/>
    <n v="96574.526590207359"/>
    <n v="7"/>
    <x v="7"/>
  </r>
  <r>
    <s v="1.2.5.4"/>
    <s v="Estrutura Moldado in Loco"/>
    <x v="1"/>
    <x v="2"/>
    <s v="5.00 dias"/>
    <d v="2022-01-11T00:00:00"/>
    <d v="2022-01-17T00:00:00"/>
    <m/>
    <m/>
    <n v="0"/>
    <n v="0"/>
    <m/>
    <m/>
    <n v="0"/>
    <n v="25.44"/>
    <s v="m³"/>
    <n v="2550.8020330415566"/>
    <n v="64892.403720577204"/>
    <n v="8"/>
    <x v="8"/>
  </r>
  <r>
    <s v="1.2.5.5"/>
    <s v="Instalações Hidrossanitárias"/>
    <x v="0"/>
    <x v="2"/>
    <s v="5.00 dias"/>
    <d v="2022-02-15T00:00:00"/>
    <d v="2022-02-21T00:00:00"/>
    <m/>
    <m/>
    <n v="0"/>
    <n v="0"/>
    <m/>
    <m/>
    <n v="0"/>
    <n v="1"/>
    <s v="pvto"/>
    <n v="13455.889210118192"/>
    <n v="13455.889210118192"/>
    <n v="13"/>
    <x v="9"/>
  </r>
  <r>
    <s v="1.2.5.6"/>
    <s v="Reboco Interno"/>
    <x v="0"/>
    <x v="2"/>
    <s v="5.00 dias"/>
    <d v="2022-03-01T00:00:00"/>
    <d v="2022-03-07T00:00:00"/>
    <m/>
    <m/>
    <n v="0"/>
    <n v="0"/>
    <m/>
    <m/>
    <n v="0"/>
    <n v="140.59"/>
    <s v="m²"/>
    <n v="7"/>
    <n v="984.13"/>
    <n v="15"/>
    <x v="10"/>
  </r>
  <r>
    <s v="1.2.5.7"/>
    <s v="Shaft "/>
    <x v="0"/>
    <x v="2"/>
    <s v="2.50 dias"/>
    <d v="2022-03-29T00:00:00"/>
    <d v="2022-03-31T00:00:00"/>
    <m/>
    <m/>
    <n v="0"/>
    <n v="0"/>
    <m/>
    <m/>
    <n v="0"/>
    <n v="10.69"/>
    <s v="m²"/>
    <n v="295.46807160325829"/>
    <n v="3158.5536854388311"/>
    <n v="19"/>
    <x v="11"/>
  </r>
  <r>
    <s v="1.2.5.8"/>
    <s v="Impermeabilização"/>
    <x v="0"/>
    <x v="2"/>
    <s v="5.00 dias"/>
    <d v="2022-03-31T00:00:00"/>
    <d v="2022-04-07T00:00:00"/>
    <m/>
    <m/>
    <n v="0"/>
    <n v="0"/>
    <m/>
    <m/>
    <n v="0"/>
    <n v="6.08"/>
    <s v="m²"/>
    <n v="39.299999999999997"/>
    <n v="238.94399999999999"/>
    <n v="19"/>
    <x v="12"/>
  </r>
  <r>
    <s v="1.2.5.9"/>
    <s v="Cerâmica"/>
    <x v="0"/>
    <x v="2"/>
    <s v="5.00 dias"/>
    <d v="2022-04-14T00:00:00"/>
    <d v="2022-04-21T00:00:00"/>
    <m/>
    <m/>
    <n v="0"/>
    <n v="0"/>
    <m/>
    <m/>
    <n v="0"/>
    <n v="86.26"/>
    <s v="m²"/>
    <n v="236.90944856477213"/>
    <n v="20435.809033197245"/>
    <n v="21"/>
    <x v="13"/>
  </r>
  <r>
    <s v="1.2.5.10"/>
    <s v="Gesso Liso"/>
    <x v="0"/>
    <x v="2"/>
    <s v="5.00 dias"/>
    <d v="2022-04-28T00:00:00"/>
    <d v="2022-05-05T00:00:00"/>
    <m/>
    <m/>
    <n v="0"/>
    <n v="0"/>
    <m/>
    <m/>
    <n v="0"/>
    <n v="447.45"/>
    <s v="m²"/>
    <n v="15.222400000000006"/>
    <n v="6811.262880000002"/>
    <n v="23"/>
    <x v="14"/>
  </r>
  <r>
    <s v="1.2.5.11"/>
    <s v="Esquadria "/>
    <x v="0"/>
    <x v="2"/>
    <s v="5.00 dias"/>
    <d v="2022-05-19T00:00:00"/>
    <d v="2022-05-26T00:00:00"/>
    <m/>
    <m/>
    <n v="0"/>
    <n v="0"/>
    <m/>
    <m/>
    <n v="0"/>
    <n v="21"/>
    <s v="und"/>
    <n v="1261.9047619047619"/>
    <n v="26500"/>
    <n v="26"/>
    <x v="15"/>
  </r>
  <r>
    <s v="1.2.5.12"/>
    <s v="Fiação"/>
    <x v="0"/>
    <x v="2"/>
    <s v="5.00 dias"/>
    <d v="2022-05-26T00:00:00"/>
    <d v="2022-06-02T00:00:00"/>
    <m/>
    <m/>
    <n v="0"/>
    <n v="0"/>
    <m/>
    <m/>
    <n v="0"/>
    <n v="4"/>
    <s v="apto"/>
    <n v="1283.6297966501836"/>
    <n v="5134.5191866007344"/>
    <n v="27"/>
    <x v="16"/>
  </r>
  <r>
    <s v="1.2.5.13"/>
    <s v="Forro"/>
    <x v="0"/>
    <x v="2"/>
    <s v="5.00 dias"/>
    <d v="2022-06-09T00:00:00"/>
    <d v="2022-06-16T00:00:00"/>
    <m/>
    <m/>
    <n v="0"/>
    <n v="0"/>
    <m/>
    <m/>
    <n v="0"/>
    <n v="29.29"/>
    <s v="m²"/>
    <n v="78.445334999999986"/>
    <n v="2297.6638621499997"/>
    <n v="29"/>
    <x v="17"/>
  </r>
  <r>
    <s v="1.2.5.14"/>
    <s v="Disjuntores e CD"/>
    <x v="0"/>
    <x v="2"/>
    <s v="2.50 dias"/>
    <d v="2022-06-16T00:00:00"/>
    <d v="2022-06-20T00:00:00"/>
    <m/>
    <m/>
    <n v="0"/>
    <n v="0"/>
    <m/>
    <m/>
    <n v="0"/>
    <n v="4"/>
    <s v="apto"/>
    <n v="350"/>
    <n v="1400"/>
    <n v="30"/>
    <x v="18"/>
  </r>
  <r>
    <s v="1.2.5.17"/>
    <s v="Rev. da Circulação"/>
    <x v="1"/>
    <x v="2"/>
    <s v="5.00 dias"/>
    <d v="2022-06-16T00:00:00"/>
    <d v="2022-06-23T00:00:00"/>
    <m/>
    <m/>
    <n v="0"/>
    <n v="0"/>
    <m/>
    <m/>
    <n v="0"/>
    <n v="22.5"/>
    <s v="m²"/>
    <n v="160.77478755454416"/>
    <n v="3617.4327199772438"/>
    <n v="30"/>
    <x v="18"/>
  </r>
  <r>
    <s v="1.2.5.16"/>
    <s v="Pintura Interna - 1ªdmão"/>
    <x v="0"/>
    <x v="2"/>
    <s v="5.00 dias"/>
    <d v="2022-06-23T00:00:00"/>
    <d v="2022-06-30T00:00:00"/>
    <m/>
    <m/>
    <n v="0"/>
    <n v="0"/>
    <m/>
    <m/>
    <n v="0"/>
    <n v="476.74"/>
    <s v="m²"/>
    <n v="31.043507801912533"/>
    <n v="14799.681909483781"/>
    <n v="31"/>
    <x v="19"/>
  </r>
  <r>
    <s v="1.2.5.18"/>
    <s v="Louças"/>
    <x v="1"/>
    <x v="2"/>
    <s v="2.50 dias"/>
    <d v="2022-07-12T00:00:00"/>
    <d v="2022-07-14T00:00:00"/>
    <m/>
    <m/>
    <n v="0"/>
    <n v="0"/>
    <m/>
    <m/>
    <n v="0"/>
    <n v="16"/>
    <s v="und"/>
    <n v="327.25146699999999"/>
    <n v="5236.0234719999999"/>
    <n v="34"/>
    <x v="20"/>
  </r>
  <r>
    <s v="1.2.5.19"/>
    <s v="Portas de Madeira"/>
    <x v="1"/>
    <x v="2"/>
    <s v="2.50 dias"/>
    <d v="2022-07-14T00:00:00"/>
    <d v="2022-07-18T00:00:00"/>
    <m/>
    <m/>
    <n v="0"/>
    <n v="0"/>
    <m/>
    <m/>
    <n v="0"/>
    <n v="20"/>
    <s v="und"/>
    <n v="520"/>
    <n v="10400"/>
    <n v="34"/>
    <x v="21"/>
  </r>
  <r>
    <s v="1.2.5.15"/>
    <s v="Piso Laminado + Rodapé"/>
    <x v="0"/>
    <x v="2"/>
    <s v="5.00 dias"/>
    <d v="2022-07-19T00:00:00"/>
    <d v="2022-07-25T00:00:00"/>
    <m/>
    <m/>
    <n v="0"/>
    <n v="0"/>
    <m/>
    <m/>
    <n v="0"/>
    <n v="80.88"/>
    <s v="m²"/>
    <n v="162.85785630043145"/>
    <n v="13171.943417578896"/>
    <n v="35"/>
    <x v="22"/>
  </r>
  <r>
    <s v="1.2.5.20"/>
    <s v="Metais"/>
    <x v="0"/>
    <x v="2"/>
    <s v="2.50 dias"/>
    <d v="2022-08-04T00:00:00"/>
    <d v="2022-08-08T00:00:00"/>
    <m/>
    <m/>
    <n v="0"/>
    <n v="0"/>
    <m/>
    <m/>
    <n v="0"/>
    <n v="12"/>
    <s v="und"/>
    <n v="111.67"/>
    <n v="1340.04"/>
    <n v="37"/>
    <x v="23"/>
  </r>
  <r>
    <s v="1.2.5.21"/>
    <s v="Acabamentos Elétricos"/>
    <x v="0"/>
    <x v="2"/>
    <s v="2.50 dias"/>
    <d v="2022-08-04T00:00:00"/>
    <d v="2022-08-08T00:00:00"/>
    <m/>
    <m/>
    <n v="0"/>
    <n v="0"/>
    <m/>
    <m/>
    <n v="0"/>
    <n v="4"/>
    <s v="apto"/>
    <n v="513.50426281564182"/>
    <n v="2054.0170512625673"/>
    <n v="37"/>
    <x v="23"/>
  </r>
  <r>
    <s v="1.2.5.22"/>
    <s v="Pintura Final"/>
    <x v="0"/>
    <x v="2"/>
    <s v="5.00 dias"/>
    <d v="2022-08-09T00:00:00"/>
    <d v="2022-08-15T00:00:00"/>
    <m/>
    <m/>
    <n v="0"/>
    <n v="0"/>
    <m/>
    <m/>
    <n v="0"/>
    <n v="614.55999999999995"/>
    <s v="m²"/>
    <n v="6"/>
    <n v="3687.3599999999997"/>
    <n v="38"/>
    <x v="6"/>
  </r>
  <r>
    <s v="1.2.5.23"/>
    <s v="Complementação e Limpeza"/>
    <x v="0"/>
    <x v="2"/>
    <s v="2.50 dias"/>
    <d v="2022-08-16T00:00:00"/>
    <d v="2022-08-18T00:00:00"/>
    <m/>
    <m/>
    <n v="0"/>
    <n v="0"/>
    <m/>
    <m/>
    <n v="0"/>
    <n v="0.25"/>
    <s v="torre"/>
    <n v="2000"/>
    <n v="500"/>
    <n v="39"/>
    <x v="6"/>
  </r>
  <r>
    <s v="1.3"/>
    <s v="PAV2"/>
    <x v="0"/>
    <x v="0"/>
    <s v="157.50 dias"/>
    <d v="2022-01-18T00:00:00"/>
    <d v="2022-08-25T00:00:00"/>
    <m/>
    <m/>
    <n v="0"/>
    <n v="0"/>
    <m/>
    <m/>
    <n v="0"/>
    <m/>
    <m/>
    <m/>
    <m/>
    <n v="9"/>
    <x v="24"/>
  </r>
  <r>
    <s v="1.3.5.3"/>
    <s v="Alvenaria Estrutural"/>
    <x v="0"/>
    <x v="2"/>
    <s v="5.00 dias"/>
    <d v="2022-01-18T00:00:00"/>
    <d v="2022-01-24T00:00:00"/>
    <m/>
    <m/>
    <n v="0"/>
    <n v="0"/>
    <m/>
    <m/>
    <n v="0"/>
    <n v="390.7"/>
    <s v="m²"/>
    <n v="247.89395397660905"/>
    <n v="96852.167818661153"/>
    <n v="9"/>
    <x v="25"/>
  </r>
  <r>
    <s v="1.3.5.4"/>
    <s v="Estrutura Moldado in Loco"/>
    <x v="1"/>
    <x v="2"/>
    <s v="5.00 dias"/>
    <d v="2022-01-25T00:00:00"/>
    <d v="2022-01-31T00:00:00"/>
    <m/>
    <m/>
    <n v="0"/>
    <n v="0"/>
    <m/>
    <m/>
    <n v="0"/>
    <n v="25.44"/>
    <s v="m³"/>
    <n v="2550.8020330415566"/>
    <n v="64892.403720577204"/>
    <n v="10"/>
    <x v="26"/>
  </r>
  <r>
    <s v="1.3.5.5"/>
    <s v="Instalações Hidrossanitárias"/>
    <x v="0"/>
    <x v="2"/>
    <s v="5.00 dias"/>
    <d v="2022-02-22T00:00:00"/>
    <d v="2022-02-28T00:00:00"/>
    <m/>
    <m/>
    <n v="0"/>
    <n v="0"/>
    <m/>
    <m/>
    <n v="0"/>
    <n v="1"/>
    <s v="pvto"/>
    <n v="13455.889210118192"/>
    <n v="13455.889210118192"/>
    <n v="14"/>
    <x v="27"/>
  </r>
  <r>
    <s v="1.3.5.6"/>
    <s v="Reboco Interno"/>
    <x v="0"/>
    <x v="2"/>
    <s v="5.00 dias"/>
    <d v="2022-03-08T00:00:00"/>
    <d v="2022-03-14T00:00:00"/>
    <m/>
    <m/>
    <n v="0"/>
    <n v="0"/>
    <m/>
    <m/>
    <n v="0"/>
    <n v="140.59"/>
    <s v="m²"/>
    <n v="7"/>
    <n v="984.13"/>
    <n v="16"/>
    <x v="28"/>
  </r>
  <r>
    <s v="1.3.5.7"/>
    <s v="Shaft "/>
    <x v="0"/>
    <x v="2"/>
    <s v="2.50 dias"/>
    <d v="2022-03-31T00:00:00"/>
    <d v="2022-04-04T00:00:00"/>
    <m/>
    <m/>
    <n v="0"/>
    <n v="0"/>
    <m/>
    <m/>
    <n v="0"/>
    <n v="10.69"/>
    <s v="m²"/>
    <n v="295.46807160325829"/>
    <n v="3158.5536854388311"/>
    <n v="19"/>
    <x v="12"/>
  </r>
  <r>
    <s v="1.3.5.8"/>
    <s v="Impermeabilização"/>
    <x v="0"/>
    <x v="2"/>
    <s v="5.00 dias"/>
    <d v="2022-04-07T00:00:00"/>
    <d v="2022-04-14T00:00:00"/>
    <m/>
    <m/>
    <n v="0"/>
    <n v="0"/>
    <m/>
    <m/>
    <n v="0"/>
    <n v="6.08"/>
    <s v="m²"/>
    <n v="39.299999999999997"/>
    <n v="238.94399999999999"/>
    <n v="20"/>
    <x v="29"/>
  </r>
  <r>
    <s v="1.3.5.9"/>
    <s v="Cerâmica"/>
    <x v="0"/>
    <x v="2"/>
    <s v="5.00 dias"/>
    <d v="2022-04-21T00:00:00"/>
    <d v="2022-04-28T00:00:00"/>
    <m/>
    <m/>
    <n v="0"/>
    <n v="0"/>
    <m/>
    <m/>
    <n v="0"/>
    <n v="86.26"/>
    <s v="m²"/>
    <n v="236.90944856477213"/>
    <n v="20435.809033197245"/>
    <n v="22"/>
    <x v="30"/>
  </r>
  <r>
    <s v="1.3.5.10"/>
    <s v="Gesso Liso"/>
    <x v="0"/>
    <x v="2"/>
    <s v="5.00 dias"/>
    <d v="2022-05-05T00:00:00"/>
    <d v="2022-05-12T00:00:00"/>
    <m/>
    <m/>
    <n v="0"/>
    <n v="0"/>
    <m/>
    <m/>
    <n v="0"/>
    <n v="447.45"/>
    <s v="m²"/>
    <n v="15.222400000000006"/>
    <n v="6811.262880000002"/>
    <n v="24"/>
    <x v="31"/>
  </r>
  <r>
    <s v="1.3.5.11"/>
    <s v="Esquadria "/>
    <x v="0"/>
    <x v="2"/>
    <s v="5.00 dias"/>
    <d v="2022-05-26T00:00:00"/>
    <d v="2022-06-02T00:00:00"/>
    <m/>
    <m/>
    <n v="0"/>
    <n v="0"/>
    <m/>
    <m/>
    <n v="0"/>
    <n v="21"/>
    <s v="und"/>
    <n v="1261.9047619047619"/>
    <n v="26500"/>
    <n v="27"/>
    <x v="16"/>
  </r>
  <r>
    <s v="1.3.5.12"/>
    <s v="Fiação"/>
    <x v="0"/>
    <x v="2"/>
    <s v="5.00 dias"/>
    <d v="2022-06-02T00:00:00"/>
    <d v="2022-06-09T00:00:00"/>
    <m/>
    <m/>
    <n v="0"/>
    <n v="0"/>
    <m/>
    <m/>
    <n v="0"/>
    <n v="4"/>
    <s v="apto"/>
    <n v="1283.6297966501836"/>
    <n v="5134.5191866007344"/>
    <n v="28"/>
    <x v="32"/>
  </r>
  <r>
    <s v="1.3.5.13"/>
    <s v="Forro"/>
    <x v="0"/>
    <x v="2"/>
    <s v="5.00 dias"/>
    <d v="2022-06-16T00:00:00"/>
    <d v="2022-06-23T00:00:00"/>
    <m/>
    <m/>
    <n v="0"/>
    <n v="0"/>
    <m/>
    <m/>
    <n v="0"/>
    <n v="29.29"/>
    <s v="m²"/>
    <n v="78.445334999999986"/>
    <n v="2297.6638621499997"/>
    <n v="30"/>
    <x v="18"/>
  </r>
  <r>
    <s v="1.3.5.14"/>
    <s v="Disjuntores e CD"/>
    <x v="0"/>
    <x v="2"/>
    <s v="2.50 dias"/>
    <d v="2022-06-23T00:00:00"/>
    <d v="2022-06-27T00:00:00"/>
    <m/>
    <m/>
    <n v="0"/>
    <n v="0"/>
    <m/>
    <m/>
    <n v="0"/>
    <n v="4"/>
    <s v="apto"/>
    <n v="350"/>
    <n v="1400"/>
    <n v="31"/>
    <x v="19"/>
  </r>
  <r>
    <s v="1.3.5.17"/>
    <s v="Rev. da Circulação"/>
    <x v="1"/>
    <x v="2"/>
    <s v="5.00 dias"/>
    <d v="2022-06-23T00:00:00"/>
    <d v="2022-06-30T00:00:00"/>
    <m/>
    <m/>
    <n v="0"/>
    <n v="0"/>
    <m/>
    <m/>
    <n v="0"/>
    <n v="22.5"/>
    <s v="m²"/>
    <n v="160.77478755454416"/>
    <n v="3617.4327199772438"/>
    <n v="31"/>
    <x v="19"/>
  </r>
  <r>
    <s v="1.3.5.16"/>
    <s v="Pintura Interna - 1ªdmão"/>
    <x v="0"/>
    <x v="2"/>
    <s v="5.00 dias"/>
    <d v="2022-06-30T00:00:00"/>
    <d v="2022-07-07T00:00:00"/>
    <m/>
    <m/>
    <n v="0"/>
    <n v="0"/>
    <m/>
    <m/>
    <n v="0"/>
    <n v="476.74"/>
    <s v="m²"/>
    <n v="31.043507801912533"/>
    <n v="14799.681909483781"/>
    <n v="32"/>
    <x v="33"/>
  </r>
  <r>
    <s v="1.3.5.18"/>
    <s v="Louças"/>
    <x v="1"/>
    <x v="2"/>
    <s v="2.50 dias"/>
    <d v="2022-07-14T00:00:00"/>
    <d v="2022-07-18T00:00:00"/>
    <m/>
    <m/>
    <n v="0"/>
    <n v="0"/>
    <m/>
    <m/>
    <n v="0"/>
    <n v="16"/>
    <s v="und"/>
    <n v="327.25146699999999"/>
    <n v="5236.0234719999999"/>
    <n v="34"/>
    <x v="21"/>
  </r>
  <r>
    <s v="1.3.5.19"/>
    <s v="Portas de Madeira"/>
    <x v="1"/>
    <x v="2"/>
    <s v="2.50 dias"/>
    <d v="2022-07-19T00:00:00"/>
    <d v="2022-07-21T00:00:00"/>
    <m/>
    <m/>
    <n v="0"/>
    <n v="0"/>
    <m/>
    <m/>
    <n v="0"/>
    <n v="20"/>
    <s v="und"/>
    <n v="520"/>
    <n v="10400"/>
    <n v="35"/>
    <x v="21"/>
  </r>
  <r>
    <s v="1.3.5.15"/>
    <s v="Piso Laminado + Rodapé"/>
    <x v="0"/>
    <x v="2"/>
    <s v="5.00 dias"/>
    <d v="2022-07-26T00:00:00"/>
    <d v="2022-08-01T00:00:00"/>
    <m/>
    <m/>
    <n v="0"/>
    <n v="0"/>
    <m/>
    <m/>
    <n v="0"/>
    <n v="80.88"/>
    <s v="m²"/>
    <n v="162.85785630043145"/>
    <n v="13171.943417578896"/>
    <n v="36"/>
    <x v="34"/>
  </r>
  <r>
    <s v="1.3.5.20"/>
    <s v="Metais"/>
    <x v="0"/>
    <x v="2"/>
    <s v="2.50 dias"/>
    <d v="2022-08-09T00:00:00"/>
    <d v="2022-08-11T00:00:00"/>
    <m/>
    <m/>
    <n v="0"/>
    <n v="0"/>
    <m/>
    <m/>
    <n v="0"/>
    <n v="12"/>
    <s v="und"/>
    <n v="111.67"/>
    <n v="1340.04"/>
    <n v="38"/>
    <x v="23"/>
  </r>
  <r>
    <s v="1.3.5.21"/>
    <s v="Acabamentos Elétricos"/>
    <x v="0"/>
    <x v="2"/>
    <s v="2.50 dias"/>
    <d v="2022-08-09T00:00:00"/>
    <d v="2022-08-11T00:00:00"/>
    <m/>
    <m/>
    <n v="0"/>
    <n v="0"/>
    <m/>
    <m/>
    <n v="0"/>
    <n v="4"/>
    <s v="apto"/>
    <n v="513.50426281564182"/>
    <n v="2054.0170512625673"/>
    <n v="38"/>
    <x v="23"/>
  </r>
  <r>
    <s v="1.3.5.22"/>
    <s v="Pintura Final"/>
    <x v="0"/>
    <x v="2"/>
    <s v="5.00 dias"/>
    <d v="2022-08-16T00:00:00"/>
    <d v="2022-08-22T00:00:00"/>
    <m/>
    <m/>
    <n v="0"/>
    <n v="0"/>
    <m/>
    <m/>
    <n v="0"/>
    <n v="614.55999999999995"/>
    <s v="m²"/>
    <n v="6"/>
    <n v="3687.3599999999997"/>
    <n v="39"/>
    <x v="24"/>
  </r>
  <r>
    <s v="1.3.5.23"/>
    <s v="Complementação e Limpeza"/>
    <x v="0"/>
    <x v="2"/>
    <s v="2.50 dias"/>
    <d v="2022-08-23T00:00:00"/>
    <d v="2022-08-25T00:00:00"/>
    <m/>
    <m/>
    <n v="0"/>
    <n v="0"/>
    <m/>
    <m/>
    <n v="0"/>
    <n v="0.25"/>
    <s v="torre"/>
    <n v="2000"/>
    <n v="500"/>
    <n v="40"/>
    <x v="24"/>
  </r>
  <r>
    <s v="1.4"/>
    <s v="PAV3"/>
    <x v="0"/>
    <x v="0"/>
    <s v="152.50 dias"/>
    <d v="2022-02-01T00:00:00"/>
    <d v="2022-09-01T00:00:00"/>
    <m/>
    <m/>
    <n v="0"/>
    <n v="0"/>
    <m/>
    <m/>
    <n v="0"/>
    <s v=" "/>
    <m/>
    <m/>
    <m/>
    <n v="11"/>
    <x v="35"/>
  </r>
  <r>
    <s v="1.4.5.3"/>
    <s v="Alvenaria Estrutural"/>
    <x v="0"/>
    <x v="2"/>
    <s v="5.00 dias"/>
    <d v="2022-02-01T00:00:00"/>
    <d v="2022-02-07T00:00:00"/>
    <m/>
    <m/>
    <n v="0"/>
    <n v="0"/>
    <m/>
    <m/>
    <n v="0"/>
    <n v="390.7"/>
    <s v="m²"/>
    <n v="247.89395397660905"/>
    <n v="96852.167818661153"/>
    <n v="11"/>
    <x v="36"/>
  </r>
  <r>
    <s v="1.4.5.4"/>
    <s v="Estrutura Moldado in Loco"/>
    <x v="1"/>
    <x v="2"/>
    <s v="5.00 dias"/>
    <d v="2022-02-08T00:00:00"/>
    <d v="2022-02-14T00:00:00"/>
    <m/>
    <m/>
    <n v="0"/>
    <n v="0"/>
    <m/>
    <m/>
    <n v="0"/>
    <n v="25.44"/>
    <s v="m³"/>
    <n v="2550.8020330415566"/>
    <n v="64892.403720577204"/>
    <n v="12"/>
    <x v="37"/>
  </r>
  <r>
    <s v="1.4.5.5"/>
    <s v="Instalações Hidrossanitárias"/>
    <x v="0"/>
    <x v="2"/>
    <s v="5.00 dias"/>
    <d v="2022-03-01T00:00:00"/>
    <d v="2022-03-07T00:00:00"/>
    <m/>
    <m/>
    <n v="0"/>
    <n v="0"/>
    <m/>
    <m/>
    <n v="0"/>
    <n v="1"/>
    <s v="pvto"/>
    <n v="13455.889210118192"/>
    <n v="13455.889210118192"/>
    <n v="15"/>
    <x v="10"/>
  </r>
  <r>
    <s v="1.4.5.6"/>
    <s v="Reboco Interno"/>
    <x v="0"/>
    <x v="2"/>
    <s v="5.00 dias"/>
    <d v="2022-03-15T00:00:00"/>
    <d v="2022-03-21T00:00:00"/>
    <m/>
    <m/>
    <n v="0"/>
    <n v="0"/>
    <m/>
    <m/>
    <n v="0"/>
    <n v="140.59"/>
    <s v="m²"/>
    <n v="7"/>
    <n v="984.13"/>
    <n v="17"/>
    <x v="38"/>
  </r>
  <r>
    <s v="1.4.5.7"/>
    <s v="Shaft "/>
    <x v="0"/>
    <x v="2"/>
    <s v="2.50 dias"/>
    <d v="2022-04-05T00:00:00"/>
    <d v="2022-04-07T00:00:00"/>
    <m/>
    <m/>
    <n v="0"/>
    <n v="0"/>
    <m/>
    <m/>
    <n v="0"/>
    <n v="10.69"/>
    <s v="m²"/>
    <n v="295.46807160325829"/>
    <n v="3158.5536854388311"/>
    <n v="20"/>
    <x v="12"/>
  </r>
  <r>
    <s v="1.4.5.8"/>
    <s v="Impermeabilização"/>
    <x v="0"/>
    <x v="2"/>
    <s v="5.00 dias"/>
    <d v="2022-04-14T00:00:00"/>
    <d v="2022-04-21T00:00:00"/>
    <m/>
    <m/>
    <n v="0"/>
    <n v="0"/>
    <m/>
    <m/>
    <n v="0"/>
    <n v="6.08"/>
    <s v="m²"/>
    <n v="39.299999999999997"/>
    <n v="238.94399999999999"/>
    <n v="21"/>
    <x v="13"/>
  </r>
  <r>
    <s v="1.4.5.9"/>
    <s v="Cerâmica"/>
    <x v="0"/>
    <x v="2"/>
    <s v="5.00 dias"/>
    <d v="2022-04-28T00:00:00"/>
    <d v="2022-05-05T00:00:00"/>
    <m/>
    <m/>
    <n v="0"/>
    <n v="0"/>
    <m/>
    <m/>
    <n v="0"/>
    <n v="86.26"/>
    <s v="m²"/>
    <n v="236.90944856477213"/>
    <n v="20435.809033197245"/>
    <n v="23"/>
    <x v="14"/>
  </r>
  <r>
    <s v="1.4.5.10"/>
    <s v="Gesso Liso"/>
    <x v="0"/>
    <x v="2"/>
    <s v="5.00 dias"/>
    <d v="2022-05-12T00:00:00"/>
    <d v="2022-05-19T00:00:00"/>
    <m/>
    <m/>
    <n v="0"/>
    <n v="0"/>
    <m/>
    <m/>
    <n v="0"/>
    <n v="447.45"/>
    <s v="m²"/>
    <n v="15.222400000000006"/>
    <n v="6811.262880000002"/>
    <n v="25"/>
    <x v="39"/>
  </r>
  <r>
    <s v="1.4.5.11"/>
    <s v="Esquadria "/>
    <x v="0"/>
    <x v="2"/>
    <s v="5.00 dias"/>
    <d v="2022-06-02T00:00:00"/>
    <d v="2022-06-09T00:00:00"/>
    <m/>
    <m/>
    <n v="0"/>
    <n v="0"/>
    <m/>
    <m/>
    <n v="0"/>
    <n v="21"/>
    <s v="und"/>
    <n v="1261.9047619047619"/>
    <n v="26500"/>
    <n v="28"/>
    <x v="32"/>
  </r>
  <r>
    <s v="1.4.5.12"/>
    <s v="Fiação"/>
    <x v="0"/>
    <x v="2"/>
    <s v="5.00 dias"/>
    <d v="2022-06-09T00:00:00"/>
    <d v="2022-06-16T00:00:00"/>
    <m/>
    <m/>
    <n v="0"/>
    <n v="0"/>
    <m/>
    <m/>
    <n v="0"/>
    <n v="4"/>
    <s v="apto"/>
    <n v="1283.6297966501836"/>
    <n v="5134.5191866007344"/>
    <n v="29"/>
    <x v="17"/>
  </r>
  <r>
    <s v="1.4.5.13"/>
    <s v="Forro"/>
    <x v="0"/>
    <x v="2"/>
    <s v="5.00 dias"/>
    <d v="2022-06-23T00:00:00"/>
    <d v="2022-06-30T00:00:00"/>
    <m/>
    <m/>
    <n v="0"/>
    <n v="0"/>
    <m/>
    <m/>
    <n v="0"/>
    <n v="29.29"/>
    <s v="m²"/>
    <n v="78.445334999999986"/>
    <n v="2297.6638621499997"/>
    <n v="31"/>
    <x v="19"/>
  </r>
  <r>
    <s v="1.4.5.14"/>
    <s v="Disjuntores e CD"/>
    <x v="0"/>
    <x v="2"/>
    <s v="2.50 dias"/>
    <d v="2022-06-30T00:00:00"/>
    <d v="2022-07-04T00:00:00"/>
    <m/>
    <m/>
    <n v="0"/>
    <n v="0"/>
    <m/>
    <m/>
    <n v="0"/>
    <n v="4"/>
    <s v="apto"/>
    <n v="350"/>
    <n v="1400"/>
    <n v="32"/>
    <x v="33"/>
  </r>
  <r>
    <s v="1.4.5.17"/>
    <s v="Rev. da Circulação"/>
    <x v="1"/>
    <x v="2"/>
    <s v="5.00 dias"/>
    <d v="2022-06-30T00:00:00"/>
    <d v="2022-07-07T00:00:00"/>
    <m/>
    <m/>
    <n v="0"/>
    <n v="0"/>
    <m/>
    <m/>
    <n v="0"/>
    <n v="22.5"/>
    <s v="m²"/>
    <n v="160.77478755454416"/>
    <n v="3617.4327199772438"/>
    <n v="32"/>
    <x v="33"/>
  </r>
  <r>
    <s v="1.4.5.16"/>
    <s v="Pintura Interna - 1ªdmão"/>
    <x v="0"/>
    <x v="2"/>
    <s v="5.00 dias"/>
    <d v="2022-07-07T00:00:00"/>
    <d v="2022-07-14T00:00:00"/>
    <m/>
    <m/>
    <n v="0"/>
    <n v="0"/>
    <m/>
    <m/>
    <n v="0"/>
    <n v="476.74"/>
    <s v="m²"/>
    <n v="31.043507801912533"/>
    <n v="14799.681909483781"/>
    <n v="33"/>
    <x v="20"/>
  </r>
  <r>
    <s v="1.4.5.18"/>
    <s v="Louças"/>
    <x v="1"/>
    <x v="2"/>
    <s v="2.50 dias"/>
    <d v="2022-07-19T00:00:00"/>
    <d v="2022-07-21T00:00:00"/>
    <m/>
    <m/>
    <n v="0"/>
    <n v="0"/>
    <m/>
    <m/>
    <n v="0"/>
    <n v="16"/>
    <s v="und"/>
    <n v="327.25146699999999"/>
    <n v="5236.0234719999999"/>
    <n v="35"/>
    <x v="21"/>
  </r>
  <r>
    <s v="1.4.5.19"/>
    <s v="Portas de Madeira"/>
    <x v="1"/>
    <x v="2"/>
    <s v="2.50 dias"/>
    <d v="2022-07-21T00:00:00"/>
    <d v="2022-07-25T00:00:00"/>
    <m/>
    <m/>
    <n v="0"/>
    <n v="0"/>
    <m/>
    <m/>
    <n v="0"/>
    <n v="20"/>
    <s v="und"/>
    <n v="520"/>
    <n v="10400"/>
    <n v="35"/>
    <x v="22"/>
  </r>
  <r>
    <s v="1.4.5.15"/>
    <s v="Piso Laminado + Rodapé"/>
    <x v="0"/>
    <x v="2"/>
    <s v="5.00 dias"/>
    <d v="2022-08-02T00:00:00"/>
    <d v="2022-08-08T00:00:00"/>
    <m/>
    <m/>
    <n v="0"/>
    <n v="0"/>
    <m/>
    <m/>
    <n v="0"/>
    <n v="80.88"/>
    <s v="m²"/>
    <n v="162.85785630043145"/>
    <n v="13171.943417578896"/>
    <n v="37"/>
    <x v="23"/>
  </r>
  <r>
    <s v="1.4.5.20"/>
    <s v="Metais"/>
    <x v="0"/>
    <x v="2"/>
    <s v="2.50 dias"/>
    <d v="2022-08-11T00:00:00"/>
    <d v="2022-08-15T00:00:00"/>
    <m/>
    <m/>
    <n v="0"/>
    <n v="0"/>
    <m/>
    <m/>
    <n v="0"/>
    <n v="12"/>
    <s v="und"/>
    <n v="111.67"/>
    <n v="1340.04"/>
    <n v="38"/>
    <x v="6"/>
  </r>
  <r>
    <s v="1.4.5.21"/>
    <s v="Acabamentos Elétricos"/>
    <x v="0"/>
    <x v="2"/>
    <s v="2.50 dias"/>
    <d v="2022-08-11T00:00:00"/>
    <d v="2022-08-15T00:00:00"/>
    <m/>
    <m/>
    <n v="0"/>
    <n v="0"/>
    <m/>
    <m/>
    <n v="0"/>
    <n v="4"/>
    <s v="apto"/>
    <n v="513.50426281564182"/>
    <n v="2054.0170512625673"/>
    <n v="38"/>
    <x v="6"/>
  </r>
  <r>
    <s v="1.4.5.22"/>
    <s v="Pintura Final"/>
    <x v="0"/>
    <x v="2"/>
    <s v="5.00 dias"/>
    <d v="2022-08-23T00:00:00"/>
    <d v="2022-08-29T00:00:00"/>
    <m/>
    <m/>
    <n v="0"/>
    <n v="0"/>
    <m/>
    <m/>
    <n v="0"/>
    <n v="614.55999999999995"/>
    <s v="m²"/>
    <n v="6"/>
    <n v="3687.3599999999997"/>
    <n v="40"/>
    <x v="35"/>
  </r>
  <r>
    <s v="1.4.5.23"/>
    <s v="Complementação e Limpeza"/>
    <x v="0"/>
    <x v="2"/>
    <s v="2.50 dias"/>
    <d v="2022-08-30T00:00:00"/>
    <d v="2022-09-01T00:00:00"/>
    <m/>
    <m/>
    <n v="0"/>
    <n v="0"/>
    <m/>
    <m/>
    <n v="0"/>
    <n v="0.25"/>
    <s v="torre"/>
    <n v="2000"/>
    <n v="500"/>
    <n v="41"/>
    <x v="35"/>
  </r>
  <r>
    <s v="1.5"/>
    <s v="PAV4"/>
    <x v="0"/>
    <x v="0"/>
    <s v="147.50 dias"/>
    <d v="2022-02-15T00:00:00"/>
    <d v="2022-09-09T00:00:00"/>
    <m/>
    <m/>
    <n v="0"/>
    <n v="0"/>
    <m/>
    <m/>
    <n v="0"/>
    <s v=" "/>
    <m/>
    <m/>
    <m/>
    <n v="13"/>
    <x v="0"/>
  </r>
  <r>
    <s v="1.5.5.3"/>
    <s v="Alvenaria Estrutural"/>
    <x v="0"/>
    <x v="2"/>
    <s v="5.00 dias"/>
    <d v="2022-02-15T00:00:00"/>
    <d v="2022-02-21T00:00:00"/>
    <m/>
    <m/>
    <n v="0"/>
    <n v="0"/>
    <m/>
    <m/>
    <n v="0"/>
    <n v="390.7"/>
    <s v="m²"/>
    <n v="247.89395397660905"/>
    <n v="96852.167818661153"/>
    <n v="13"/>
    <x v="9"/>
  </r>
  <r>
    <s v="1.5.5.4"/>
    <s v="Estrutura Moldado in Loco"/>
    <x v="1"/>
    <x v="2"/>
    <s v="5.00 dias"/>
    <d v="2022-02-22T00:00:00"/>
    <d v="2022-02-28T00:00:00"/>
    <m/>
    <m/>
    <n v="0"/>
    <n v="0"/>
    <m/>
    <m/>
    <n v="0"/>
    <n v="26.73"/>
    <s v="m³"/>
    <n v="2550.8020330415566"/>
    <n v="68182.938343200804"/>
    <n v="14"/>
    <x v="27"/>
  </r>
  <r>
    <s v="1.5.5.5"/>
    <s v="Instalações Hidrossanitárias"/>
    <x v="0"/>
    <x v="2"/>
    <s v="5.00 dias"/>
    <d v="2022-03-08T00:00:00"/>
    <d v="2022-03-14T00:00:00"/>
    <m/>
    <m/>
    <n v="0"/>
    <n v="0"/>
    <m/>
    <m/>
    <n v="0"/>
    <n v="1"/>
    <s v="pvto"/>
    <n v="13455.889210118192"/>
    <n v="13455.889210118192"/>
    <n v="16"/>
    <x v="28"/>
  </r>
  <r>
    <s v="1.5.5.6"/>
    <s v="Reboco Interno"/>
    <x v="0"/>
    <x v="2"/>
    <s v="5.00 dias"/>
    <d v="2022-03-22T00:00:00"/>
    <d v="2022-03-28T00:00:00"/>
    <m/>
    <m/>
    <n v="0"/>
    <n v="0"/>
    <m/>
    <m/>
    <n v="0"/>
    <n v="140.59"/>
    <s v="m²"/>
    <n v="7"/>
    <n v="984.13"/>
    <n v="18"/>
    <x v="11"/>
  </r>
  <r>
    <s v="1.5.5.7"/>
    <s v="Shaft "/>
    <x v="0"/>
    <x v="2"/>
    <s v="2.50 dias"/>
    <d v="2022-04-07T00:00:00"/>
    <d v="2022-04-11T00:00:00"/>
    <m/>
    <m/>
    <n v="0"/>
    <n v="0"/>
    <m/>
    <m/>
    <n v="0"/>
    <n v="10.69"/>
    <s v="m²"/>
    <n v="295.46807160325829"/>
    <n v="3158.5536854388311"/>
    <n v="20"/>
    <x v="29"/>
  </r>
  <r>
    <s v="1.5.5.8"/>
    <s v="Impermeabilização"/>
    <x v="0"/>
    <x v="2"/>
    <s v="5.00 dias"/>
    <d v="2022-04-21T00:00:00"/>
    <d v="2022-04-28T00:00:00"/>
    <m/>
    <m/>
    <n v="0"/>
    <n v="0"/>
    <m/>
    <m/>
    <n v="0"/>
    <n v="6.08"/>
    <s v="m²"/>
    <n v="39.299999999999997"/>
    <n v="238.94399999999999"/>
    <n v="22"/>
    <x v="30"/>
  </r>
  <r>
    <s v="1.5.5.9"/>
    <s v="Cerâmica"/>
    <x v="0"/>
    <x v="2"/>
    <s v="5.00 dias"/>
    <d v="2022-05-05T00:00:00"/>
    <d v="2022-05-12T00:00:00"/>
    <m/>
    <m/>
    <n v="0"/>
    <n v="0"/>
    <m/>
    <m/>
    <n v="0"/>
    <n v="86.26"/>
    <s v="m²"/>
    <n v="236.90944856477213"/>
    <n v="20435.809033197245"/>
    <n v="24"/>
    <x v="31"/>
  </r>
  <r>
    <s v="1.5.5.10"/>
    <s v="Gesso Liso"/>
    <x v="0"/>
    <x v="2"/>
    <s v="5.00 dias"/>
    <d v="2022-05-19T00:00:00"/>
    <d v="2022-05-26T00:00:00"/>
    <m/>
    <m/>
    <n v="0"/>
    <n v="0"/>
    <m/>
    <m/>
    <n v="0"/>
    <n v="447.45"/>
    <s v="m²"/>
    <n v="15.222400000000006"/>
    <n v="6811.262880000002"/>
    <n v="26"/>
    <x v="15"/>
  </r>
  <r>
    <s v="1.5.5.11"/>
    <s v="Esquadria "/>
    <x v="0"/>
    <x v="2"/>
    <s v="5.00 dias"/>
    <d v="2022-06-09T00:00:00"/>
    <d v="2022-06-16T00:00:00"/>
    <m/>
    <m/>
    <n v="0"/>
    <n v="0"/>
    <m/>
    <m/>
    <n v="0"/>
    <n v="21"/>
    <s v="und"/>
    <n v="1261.9047619047619"/>
    <n v="26500"/>
    <n v="29"/>
    <x v="17"/>
  </r>
  <r>
    <s v="1.5.5.12"/>
    <s v="Fiação"/>
    <x v="0"/>
    <x v="2"/>
    <s v="5.00 dias"/>
    <d v="2022-06-16T00:00:00"/>
    <d v="2022-06-23T00:00:00"/>
    <m/>
    <m/>
    <n v="0"/>
    <n v="0"/>
    <m/>
    <m/>
    <n v="0"/>
    <n v="4"/>
    <s v="apto"/>
    <n v="1283.6297966501836"/>
    <n v="5134.5191866007344"/>
    <n v="30"/>
    <x v="18"/>
  </r>
  <r>
    <s v="1.5.5.13"/>
    <s v="Forro"/>
    <x v="0"/>
    <x v="2"/>
    <s v="5.00 dias"/>
    <d v="2022-06-30T00:00:00"/>
    <d v="2022-07-07T00:00:00"/>
    <m/>
    <m/>
    <n v="0"/>
    <n v="0"/>
    <m/>
    <m/>
    <n v="0"/>
    <n v="29.29"/>
    <s v="m²"/>
    <n v="78.445334999999986"/>
    <n v="2297.6638621499997"/>
    <n v="32"/>
    <x v="33"/>
  </r>
  <r>
    <s v="1.5.5.14"/>
    <s v="Disjuntores e CD"/>
    <x v="0"/>
    <x v="2"/>
    <s v="2.50 dias"/>
    <d v="2022-07-07T00:00:00"/>
    <d v="2022-07-11T00:00:00"/>
    <m/>
    <m/>
    <n v="0"/>
    <n v="0"/>
    <m/>
    <m/>
    <n v="0"/>
    <n v="4"/>
    <s v="apto"/>
    <n v="350"/>
    <n v="1400"/>
    <n v="33"/>
    <x v="20"/>
  </r>
  <r>
    <s v="1.5.5.17"/>
    <s v="Rev. da Circulação"/>
    <x v="1"/>
    <x v="2"/>
    <s v="5.00 dias"/>
    <d v="2022-07-07T00:00:00"/>
    <d v="2022-07-14T00:00:00"/>
    <m/>
    <m/>
    <n v="0"/>
    <n v="0"/>
    <m/>
    <m/>
    <n v="0"/>
    <n v="22.5"/>
    <s v="m²"/>
    <n v="160.77478755454416"/>
    <n v="3617.4327199772438"/>
    <n v="33"/>
    <x v="20"/>
  </r>
  <r>
    <s v="1.5.5.16"/>
    <s v="Pintura Interna - 1ªdmão"/>
    <x v="0"/>
    <x v="2"/>
    <s v="5.00 dias"/>
    <d v="2022-07-14T00:00:00"/>
    <d v="2022-07-21T00:00:00"/>
    <m/>
    <m/>
    <n v="0"/>
    <n v="0"/>
    <m/>
    <m/>
    <n v="0"/>
    <n v="476.74"/>
    <s v="m²"/>
    <n v="31.043507801912533"/>
    <n v="14799.681909483781"/>
    <n v="34"/>
    <x v="21"/>
  </r>
  <r>
    <s v="1.5.5.18"/>
    <s v="Louças"/>
    <x v="1"/>
    <x v="2"/>
    <s v="2.50 dias"/>
    <d v="2022-07-21T00:00:00"/>
    <d v="2022-07-25T00:00:00"/>
    <m/>
    <m/>
    <n v="0"/>
    <n v="0"/>
    <m/>
    <m/>
    <n v="0"/>
    <n v="16"/>
    <s v="und"/>
    <n v="327.25146699999999"/>
    <n v="5236.0234719999999"/>
    <n v="35"/>
    <x v="22"/>
  </r>
  <r>
    <s v="1.5.5.19"/>
    <s v="Portas de Madeira"/>
    <x v="1"/>
    <x v="2"/>
    <s v="2.50 dias"/>
    <d v="2022-07-26T00:00:00"/>
    <d v="2022-07-28T00:00:00"/>
    <m/>
    <m/>
    <n v="0"/>
    <n v="0"/>
    <m/>
    <m/>
    <n v="0"/>
    <n v="20"/>
    <s v="und"/>
    <n v="520"/>
    <n v="10400"/>
    <n v="36"/>
    <x v="22"/>
  </r>
  <r>
    <s v="1.5.5.15"/>
    <s v="Piso Laminado + Rodapé"/>
    <x v="0"/>
    <x v="2"/>
    <s v="5.00 dias"/>
    <d v="2022-08-09T00:00:00"/>
    <d v="2022-08-15T00:00:00"/>
    <m/>
    <m/>
    <n v="0"/>
    <n v="0"/>
    <m/>
    <m/>
    <n v="0"/>
    <n v="80.88"/>
    <s v="m²"/>
    <n v="162.85785630043145"/>
    <n v="13171.943417578896"/>
    <n v="38"/>
    <x v="6"/>
  </r>
  <r>
    <s v="1.5.5.20"/>
    <s v="Metais"/>
    <x v="0"/>
    <x v="2"/>
    <s v="2.50 dias"/>
    <d v="2022-08-16T00:00:00"/>
    <d v="2022-08-18T00:00:00"/>
    <m/>
    <m/>
    <n v="0"/>
    <n v="0"/>
    <m/>
    <m/>
    <n v="0"/>
    <n v="12"/>
    <s v="und"/>
    <n v="111.67"/>
    <n v="1340.04"/>
    <n v="39"/>
    <x v="6"/>
  </r>
  <r>
    <s v="1.5.5.21"/>
    <s v="Acabamentos Elétricos"/>
    <x v="0"/>
    <x v="2"/>
    <s v="2.50 dias"/>
    <d v="2022-08-16T00:00:00"/>
    <d v="2022-08-18T00:00:00"/>
    <m/>
    <m/>
    <n v="0"/>
    <n v="0"/>
    <m/>
    <m/>
    <n v="0"/>
    <n v="4"/>
    <s v="apto"/>
    <n v="513.50426281564182"/>
    <n v="2054.0170512625673"/>
    <n v="39"/>
    <x v="6"/>
  </r>
  <r>
    <s v="1.5.5.22"/>
    <s v="Pintura Final"/>
    <x v="0"/>
    <x v="2"/>
    <s v="5.00 dias"/>
    <d v="2022-08-30T00:00:00"/>
    <d v="2022-09-05T00:00:00"/>
    <m/>
    <m/>
    <n v="0"/>
    <n v="0"/>
    <m/>
    <m/>
    <n v="0"/>
    <n v="614.55999999999995"/>
    <s v="m²"/>
    <n v="6"/>
    <n v="3687.3599999999997"/>
    <n v="41"/>
    <x v="0"/>
  </r>
  <r>
    <s v="1.5.5.23"/>
    <s v="Complementação e Limpeza"/>
    <x v="0"/>
    <x v="2"/>
    <s v="2.50 dias"/>
    <d v="2022-09-06T00:00:00"/>
    <d v="2022-09-09T00:00:00"/>
    <m/>
    <m/>
    <n v="0"/>
    <n v="0"/>
    <m/>
    <m/>
    <n v="0"/>
    <n v="0.25"/>
    <s v="torre"/>
    <n v="2000"/>
    <n v="500"/>
    <n v="42"/>
    <x v="0"/>
  </r>
  <r>
    <s v="1.6"/>
    <s v="COB"/>
    <x v="0"/>
    <x v="0"/>
    <s v="40.00 dias"/>
    <d v="2022-03-01T00:00:00"/>
    <d v="2022-04-25T00:00:00"/>
    <m/>
    <m/>
    <n v="0"/>
    <n v="0"/>
    <m/>
    <m/>
    <n v="0"/>
    <s v=" "/>
    <m/>
    <m/>
    <m/>
    <n v="15"/>
    <x v="30"/>
  </r>
  <r>
    <s v="1.6.6.1"/>
    <s v="Alvenaria Estrutural"/>
    <x v="0"/>
    <x v="3"/>
    <s v="5.00 dias"/>
    <d v="2022-03-01T00:00:00"/>
    <d v="2022-03-07T00:00:00"/>
    <m/>
    <m/>
    <n v="0"/>
    <n v="0"/>
    <m/>
    <m/>
    <n v="0"/>
    <n v="81.7"/>
    <s v="m²"/>
    <n v="247.89395397660905"/>
    <n v="20252.936039888962"/>
    <n v="15"/>
    <x v="10"/>
  </r>
  <r>
    <s v="1.6.6.2"/>
    <s v="Instalações Hidrossanitárias"/>
    <x v="0"/>
    <x v="3"/>
    <s v="5.00 dias"/>
    <d v="2022-03-15T00:00:00"/>
    <d v="2022-03-21T00:00:00"/>
    <m/>
    <m/>
    <n v="0"/>
    <n v="0"/>
    <m/>
    <m/>
    <n v="0"/>
    <m/>
    <m/>
    <n v="13455.889210118192"/>
    <n v="0"/>
    <n v="17"/>
    <x v="38"/>
  </r>
  <r>
    <s v="1.6.6.4"/>
    <s v="Telhado"/>
    <x v="0"/>
    <x v="3"/>
    <s v="5.00 dias"/>
    <d v="2022-03-22T00:00:00"/>
    <d v="2022-03-28T00:00:00"/>
    <m/>
    <m/>
    <n v="0"/>
    <n v="0"/>
    <m/>
    <m/>
    <n v="0"/>
    <n v="243.7"/>
    <s v="m²"/>
    <n v="209.65947672607118"/>
    <n v="51094.014478143545"/>
    <n v="18"/>
    <x v="11"/>
  </r>
  <r>
    <s v="1.6.6.5"/>
    <s v="Algerosas + Rufos"/>
    <x v="0"/>
    <x v="3"/>
    <s v="5.00 dias"/>
    <d v="2022-04-19T00:00:00"/>
    <d v="2022-04-25T00:00:00"/>
    <m/>
    <m/>
    <n v="0"/>
    <n v="0"/>
    <m/>
    <m/>
    <n v="0"/>
    <n v="75.180000000000007"/>
    <s v="m"/>
    <n v="134.24139437622111"/>
    <n v="10092.268029204304"/>
    <n v="22"/>
    <x v="30"/>
  </r>
  <r>
    <n v="2"/>
    <s v="FACHADA"/>
    <x v="0"/>
    <x v="0"/>
    <s v="93.00 dias"/>
    <d v="2022-03-08T00:00:00"/>
    <d v="2022-07-14T00:00:00"/>
    <m/>
    <m/>
    <n v="0"/>
    <n v="0"/>
    <m/>
    <m/>
    <n v="0"/>
    <s v=" "/>
    <m/>
    <m/>
    <m/>
    <n v="16"/>
    <x v="20"/>
  </r>
  <r>
    <s v="2.1"/>
    <s v="PANO1"/>
    <x v="0"/>
    <x v="0"/>
    <s v="68.00 dias"/>
    <d v="2022-03-08T00:00:00"/>
    <d v="2022-06-09T00:00:00"/>
    <m/>
    <m/>
    <n v="0"/>
    <n v="0"/>
    <m/>
    <m/>
    <n v="0"/>
    <s v=" "/>
    <m/>
    <m/>
    <m/>
    <n v="16"/>
    <x v="32"/>
  </r>
  <r>
    <s v="2.1.7.1"/>
    <s v="Reboco Externo"/>
    <x v="0"/>
    <x v="4"/>
    <s v="5.00 dias"/>
    <d v="2022-03-08T00:00:00"/>
    <d v="2022-03-14T00:00:00"/>
    <m/>
    <m/>
    <n v="0"/>
    <n v="0"/>
    <m/>
    <m/>
    <n v="0"/>
    <n v="126.22"/>
    <s v="m²"/>
    <n v="111.22574674641417"/>
    <n v="14038.913754332398"/>
    <n v="16"/>
    <x v="28"/>
  </r>
  <r>
    <s v="2.1.7.2"/>
    <s v="Pintura Externa "/>
    <x v="0"/>
    <x v="4"/>
    <s v="5.00 dias"/>
    <d v="2022-06-03T00:00:00"/>
    <d v="2022-06-09T00:00:00"/>
    <m/>
    <m/>
    <n v="0"/>
    <n v="0"/>
    <m/>
    <m/>
    <n v="0"/>
    <n v="126.22"/>
    <s v="m²"/>
    <n v="49.707079999999983"/>
    <n v="6274.0276375999974"/>
    <n v="28"/>
    <x v="32"/>
  </r>
  <r>
    <s v="2.2"/>
    <s v="PANO2"/>
    <x v="0"/>
    <x v="0"/>
    <s v="68.00 dias"/>
    <d v="2022-03-15T00:00:00"/>
    <d v="2022-06-16T00:00:00"/>
    <m/>
    <m/>
    <n v="0"/>
    <n v="0"/>
    <m/>
    <m/>
    <n v="0"/>
    <m/>
    <m/>
    <m/>
    <m/>
    <n v="17"/>
    <x v="17"/>
  </r>
  <r>
    <s v="2.2.7.1"/>
    <s v="Reboco Externo"/>
    <x v="0"/>
    <x v="4"/>
    <s v="5.00 dias"/>
    <d v="2022-03-15T00:00:00"/>
    <d v="2022-03-21T00:00:00"/>
    <m/>
    <m/>
    <n v="0"/>
    <n v="0"/>
    <m/>
    <m/>
    <n v="0"/>
    <n v="142.51"/>
    <s v="m²"/>
    <n v="111.22574674641417"/>
    <n v="15850.781168831483"/>
    <n v="17"/>
    <x v="38"/>
  </r>
  <r>
    <s v="2.2.7.2"/>
    <s v="Pintura Externa "/>
    <x v="0"/>
    <x v="4"/>
    <s v="5.00 dias"/>
    <d v="2022-06-10T00:00:00"/>
    <d v="2022-06-16T00:00:00"/>
    <m/>
    <m/>
    <n v="0"/>
    <n v="0"/>
    <m/>
    <m/>
    <n v="0"/>
    <n v="142.51"/>
    <s v="m²"/>
    <n v="49.707079999999983"/>
    <n v="7083.7559707999972"/>
    <n v="29"/>
    <x v="17"/>
  </r>
  <r>
    <s v="2.3"/>
    <s v="PANO3"/>
    <x v="0"/>
    <x v="0"/>
    <s v="68.00 dias"/>
    <d v="2022-03-22T00:00:00"/>
    <d v="2022-06-23T00:00:00"/>
    <m/>
    <m/>
    <n v="0"/>
    <n v="0"/>
    <m/>
    <m/>
    <n v="0"/>
    <m/>
    <m/>
    <m/>
    <m/>
    <n v="18"/>
    <x v="18"/>
  </r>
  <r>
    <s v="2.3.7.1"/>
    <s v="Reboco Externo"/>
    <x v="0"/>
    <x v="4"/>
    <s v="5.00 dias"/>
    <d v="2022-03-22T00:00:00"/>
    <d v="2022-03-28T00:00:00"/>
    <m/>
    <m/>
    <n v="0"/>
    <n v="0"/>
    <m/>
    <m/>
    <n v="0"/>
    <n v="113.41"/>
    <s v="m²"/>
    <n v="111.22574674641417"/>
    <n v="12614.11193851083"/>
    <n v="18"/>
    <x v="11"/>
  </r>
  <r>
    <s v="2.3.7.2"/>
    <s v="Pintura Externa "/>
    <x v="0"/>
    <x v="4"/>
    <s v="5.00 dias"/>
    <d v="2022-06-17T00:00:00"/>
    <d v="2022-06-23T00:00:00"/>
    <m/>
    <m/>
    <n v="0"/>
    <n v="0"/>
    <m/>
    <m/>
    <n v="0"/>
    <n v="113.41"/>
    <s v="m²"/>
    <n v="49.707079999999983"/>
    <n v="5637.279942799998"/>
    <n v="30"/>
    <x v="18"/>
  </r>
  <r>
    <s v="2.4"/>
    <s v="PANO4"/>
    <x v="0"/>
    <x v="0"/>
    <s v="68.00 dias"/>
    <d v="2022-03-29T00:00:00"/>
    <d v="2022-06-30T00:00:00"/>
    <m/>
    <m/>
    <n v="0"/>
    <n v="0"/>
    <m/>
    <m/>
    <n v="0"/>
    <m/>
    <m/>
    <m/>
    <m/>
    <n v="19"/>
    <x v="19"/>
  </r>
  <r>
    <s v="2.4.7.1"/>
    <s v="Reboco Externo"/>
    <x v="0"/>
    <x v="4"/>
    <s v="5.00 dias"/>
    <d v="2022-03-29T00:00:00"/>
    <d v="2022-04-04T00:00:00"/>
    <m/>
    <m/>
    <n v="0"/>
    <n v="0"/>
    <m/>
    <m/>
    <n v="0"/>
    <n v="124.84"/>
    <s v="m²"/>
    <n v="111.22574674641417"/>
    <n v="13885.422223822346"/>
    <n v="19"/>
    <x v="12"/>
  </r>
  <r>
    <s v="2.4.7.2"/>
    <s v="Pintura Externa "/>
    <x v="0"/>
    <x v="4"/>
    <s v="5.00 dias"/>
    <d v="2022-06-24T00:00:00"/>
    <d v="2022-06-30T00:00:00"/>
    <m/>
    <m/>
    <n v="0"/>
    <n v="0"/>
    <m/>
    <m/>
    <n v="0"/>
    <n v="124.84"/>
    <s v="m²"/>
    <n v="49.707079999999983"/>
    <n v="6205.4318671999981"/>
    <n v="31"/>
    <x v="19"/>
  </r>
  <r>
    <s v="2.5"/>
    <s v="PANO5"/>
    <x v="0"/>
    <x v="0"/>
    <s v="68.00 dias"/>
    <d v="2022-04-05T00:00:00"/>
    <d v="2022-07-07T00:00:00"/>
    <m/>
    <m/>
    <n v="0"/>
    <n v="0"/>
    <m/>
    <m/>
    <n v="0"/>
    <m/>
    <m/>
    <m/>
    <m/>
    <n v="20"/>
    <x v="33"/>
  </r>
  <r>
    <s v="2.5.7.1"/>
    <s v="Reboco Externo"/>
    <x v="0"/>
    <x v="4"/>
    <s v="5.00 dias"/>
    <d v="2022-04-05T00:00:00"/>
    <d v="2022-04-11T00:00:00"/>
    <m/>
    <m/>
    <n v="0"/>
    <n v="0"/>
    <m/>
    <m/>
    <n v="0"/>
    <n v="138.44"/>
    <s v="m²"/>
    <n v="111.22574674641417"/>
    <n v="15398.092379573578"/>
    <n v="20"/>
    <x v="29"/>
  </r>
  <r>
    <s v="2.5.7.2"/>
    <s v="Pintura Externa "/>
    <x v="0"/>
    <x v="4"/>
    <s v="5.00 dias"/>
    <d v="2022-07-01T00:00:00"/>
    <d v="2022-07-07T00:00:00"/>
    <m/>
    <m/>
    <n v="0"/>
    <n v="0"/>
    <m/>
    <m/>
    <n v="0"/>
    <n v="138.44"/>
    <s v="m²"/>
    <n v="49.707079999999983"/>
    <n v="6881.4481551999979"/>
    <n v="32"/>
    <x v="33"/>
  </r>
  <r>
    <s v="2.6"/>
    <s v="PANO6"/>
    <x v="0"/>
    <x v="0"/>
    <s v="68.00 dias"/>
    <d v="2022-04-12T00:00:00"/>
    <d v="2022-07-14T00:00:00"/>
    <m/>
    <m/>
    <n v="0"/>
    <n v="0"/>
    <m/>
    <m/>
    <n v="0"/>
    <m/>
    <m/>
    <m/>
    <m/>
    <n v="21"/>
    <x v="20"/>
  </r>
  <r>
    <s v="2.6.7.1"/>
    <s v="Reboco Externo"/>
    <x v="0"/>
    <x v="4"/>
    <s v="5.00 dias"/>
    <d v="2022-04-12T00:00:00"/>
    <d v="2022-04-18T00:00:00"/>
    <m/>
    <m/>
    <n v="0"/>
    <n v="0"/>
    <m/>
    <m/>
    <n v="0"/>
    <n v="99.85"/>
    <s v="m²"/>
    <n v="111.22574674641417"/>
    <n v="11105.890812629455"/>
    <n v="21"/>
    <x v="13"/>
  </r>
  <r>
    <s v="2.6.7.2"/>
    <s v="Pintura Externa "/>
    <x v="0"/>
    <x v="4"/>
    <s v="5.00 dias"/>
    <d v="2022-07-08T00:00:00"/>
    <d v="2022-07-14T00:00:00"/>
    <m/>
    <m/>
    <n v="0"/>
    <n v="0"/>
    <m/>
    <m/>
    <n v="0"/>
    <n v="99.85"/>
    <s v="m²"/>
    <n v="49.707079999999983"/>
    <n v="4963.2519379999985"/>
    <n v="33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1"/>
    <s v="ESTRUTURA/ACABAMENTO"/>
    <m/>
    <x v="0"/>
    <s v="207.50 dias"/>
    <d v="2021-11-22T00:00:00"/>
    <d v="2022-09-09T00:00:00"/>
    <m/>
    <m/>
    <s v=" "/>
    <m/>
    <m/>
    <m/>
    <n v="1"/>
    <n v="42"/>
    <m/>
    <m/>
    <m/>
    <m/>
    <x v="0"/>
    <x v="0"/>
  </r>
  <r>
    <s v="1.1"/>
    <s v="FUND"/>
    <m/>
    <x v="0"/>
    <s v="30.00 dias"/>
    <d v="2021-11-22T00:00:00"/>
    <d v="2022-01-03T00:00:00"/>
    <m/>
    <m/>
    <s v=" "/>
    <m/>
    <m/>
    <m/>
    <n v="1"/>
    <n v="7"/>
    <m/>
    <m/>
    <m/>
    <m/>
    <x v="0"/>
    <x v="0"/>
  </r>
  <r>
    <s v="1.1.0.1"/>
    <s v="Locação e Gabarito"/>
    <m/>
    <x v="1"/>
    <s v="5.00 dias"/>
    <d v="2021-11-22T00:00:00"/>
    <d v="2021-11-26T00:00:00"/>
    <m/>
    <m/>
    <n v="74.739999999999995"/>
    <s v="m²"/>
    <n v="36.400132810000002"/>
    <n v="2720.5459262193999"/>
    <n v="1"/>
    <n v="1"/>
    <n v="0.56523337008452779"/>
    <n v="0.43476662991547227"/>
    <n v="1537.7433423467246"/>
    <n v="1182.8025838726755"/>
    <x v="1"/>
    <x v="1"/>
  </r>
  <r>
    <s v="1.1.0.2"/>
    <s v="Estacas"/>
    <m/>
    <x v="1"/>
    <s v="10.00 dias"/>
    <d v="2021-11-29T00:00:00"/>
    <d v="2021-12-10T00:00:00"/>
    <m/>
    <m/>
    <n v="14.82"/>
    <s v="m³"/>
    <n v="2317.9512940424352"/>
    <n v="34352.038177708891"/>
    <n v="2"/>
    <n v="3"/>
    <n v="0.78946296026779217"/>
    <n v="0.21053703973220783"/>
    <n v="27119.661751006275"/>
    <n v="7232.3764267026172"/>
    <x v="2"/>
    <x v="2"/>
  </r>
  <r>
    <s v="1.1.0.3"/>
    <s v="Vigas Baldrames"/>
    <m/>
    <x v="1"/>
    <s v="5.00 dias"/>
    <d v="2021-12-13T00:00:00"/>
    <d v="2021-12-17T00:00:00"/>
    <m/>
    <m/>
    <n v="18.11"/>
    <s v="m³"/>
    <n v="3866.9904848461024"/>
    <n v="70031.197680562909"/>
    <n v="4"/>
    <n v="4"/>
    <n v="0.25730234417382863"/>
    <n v="0.74269765582617142"/>
    <n v="18019.191328509627"/>
    <n v="52012.006352053286"/>
    <x v="3"/>
    <x v="3"/>
  </r>
  <r>
    <s v="1.1.0.4"/>
    <s v="Instalações Enterradas"/>
    <m/>
    <x v="1"/>
    <s v="5.00 dias"/>
    <d v="2021-12-20T00:00:00"/>
    <d v="2021-12-24T00:00:00"/>
    <m/>
    <m/>
    <n v="1"/>
    <s v="torre"/>
    <n v="350"/>
    <n v="350"/>
    <n v="5"/>
    <n v="5"/>
    <n v="1"/>
    <n v="0"/>
    <n v="350"/>
    <n v="0"/>
    <x v="4"/>
    <x v="4"/>
  </r>
  <r>
    <s v="1.1.0.5"/>
    <s v="Contrapiso"/>
    <m/>
    <x v="1"/>
    <s v="5.00 dias"/>
    <d v="2021-12-27T00:00:00"/>
    <d v="2022-01-03T00:00:00"/>
    <m/>
    <m/>
    <n v="224.41"/>
    <s v="m²"/>
    <n v="155.57182168692589"/>
    <n v="34911.872504763036"/>
    <n v="6"/>
    <n v="7"/>
    <n v="0.54167046916318939"/>
    <n v="0.45832953083681055"/>
    <n v="18910.730359020446"/>
    <n v="16001.142145742588"/>
    <x v="5"/>
    <x v="5"/>
  </r>
  <r>
    <s v="1.2"/>
    <s v="PAV1"/>
    <m/>
    <x v="0"/>
    <s v="162.50 dias"/>
    <d v="2022-01-04T00:00:00"/>
    <d v="2022-08-18T00:00:00"/>
    <m/>
    <m/>
    <s v=" "/>
    <m/>
    <m/>
    <m/>
    <n v="7"/>
    <n v="39"/>
    <m/>
    <m/>
    <n v="0"/>
    <n v="0"/>
    <x v="6"/>
    <x v="6"/>
  </r>
  <r>
    <s v="1.2.5.3"/>
    <s v="Alvenaria Estrutural"/>
    <m/>
    <x v="2"/>
    <s v="5.00 dias"/>
    <d v="2022-01-04T00:00:00"/>
    <d v="2022-01-10T00:00:00"/>
    <m/>
    <m/>
    <n v="389.58"/>
    <s v="m²"/>
    <n v="247.89395397660905"/>
    <n v="96574.526590207359"/>
    <n v="7"/>
    <n v="8"/>
    <n v="0.13858702989570013"/>
    <n v="0.86141297010429985"/>
    <n v="13383.976803720154"/>
    <n v="83190.549786487201"/>
    <x v="6"/>
    <x v="7"/>
  </r>
  <r>
    <s v="1.2.5.4"/>
    <s v="Estrutura Moldado in Loco"/>
    <s v="GERAL"/>
    <x v="2"/>
    <s v="5.00 dias"/>
    <d v="2022-01-11T00:00:00"/>
    <d v="2022-01-17T00:00:00"/>
    <m/>
    <m/>
    <n v="25.44"/>
    <s v="m³"/>
    <n v="2550.8020330415566"/>
    <n v="64892.403720577204"/>
    <n v="8"/>
    <n v="9"/>
    <n v="0.38396280966583479"/>
    <n v="0.61603719033416515"/>
    <n v="24916.269658522495"/>
    <n v="39976.134062054705"/>
    <x v="7"/>
    <x v="8"/>
  </r>
  <r>
    <s v="1.2.5.5"/>
    <s v="Instalações Hidrossanitárias"/>
    <m/>
    <x v="2"/>
    <s v="5.00 dias"/>
    <d v="2022-02-15T00:00:00"/>
    <d v="2022-02-21T00:00:00"/>
    <m/>
    <m/>
    <n v="1"/>
    <s v="pvto"/>
    <n v="13455.889210118192"/>
    <n v="13455.889210118192"/>
    <n v="13"/>
    <n v="14"/>
    <n v="0.35672482024413354"/>
    <n v="0.64327517975586646"/>
    <n v="4800.0496597043884"/>
    <n v="8655.8395504138043"/>
    <x v="8"/>
    <x v="9"/>
  </r>
  <r>
    <s v="1.2.5.6"/>
    <s v="Reboco Interno"/>
    <m/>
    <x v="2"/>
    <s v="5.00 dias"/>
    <d v="2022-03-01T00:00:00"/>
    <d v="2022-03-07T00:00:00"/>
    <m/>
    <m/>
    <n v="140.59"/>
    <s v="m²"/>
    <n v="7"/>
    <n v="984.13"/>
    <n v="15"/>
    <n v="16"/>
    <n v="0.26486813778256191"/>
    <n v="0.73513186221743809"/>
    <n v="260.66468043595268"/>
    <n v="723.46531956404738"/>
    <x v="9"/>
    <x v="10"/>
  </r>
  <r>
    <s v="1.2.5.7"/>
    <s v="Shaft "/>
    <m/>
    <x v="2"/>
    <s v="2.50 dias"/>
    <d v="2022-03-29T00:00:00"/>
    <d v="2022-03-31T00:00:00"/>
    <m/>
    <m/>
    <n v="10.69"/>
    <s v="m²"/>
    <n v="295.46807160325829"/>
    <n v="3158.5536854388311"/>
    <n v="19"/>
    <n v="19"/>
    <n v="0.62478082992402106"/>
    <n v="0.37521917007597894"/>
    <n v="1973.4037929480482"/>
    <n v="1185.1498924907828"/>
    <x v="10"/>
    <x v="11"/>
  </r>
  <r>
    <s v="1.2.5.8"/>
    <s v="Impermeabilização"/>
    <m/>
    <x v="2"/>
    <s v="5.00 dias"/>
    <d v="2022-03-31T00:00:00"/>
    <d v="2022-04-07T00:00:00"/>
    <m/>
    <m/>
    <n v="6.08"/>
    <s v="m²"/>
    <n v="39.299999999999997"/>
    <n v="238.94399999999999"/>
    <n v="19"/>
    <n v="20"/>
    <n v="0.45815899581589958"/>
    <n v="0.54184100418410042"/>
    <n v="109.47434309623431"/>
    <n v="129.4696569037657"/>
    <x v="11"/>
    <x v="12"/>
  </r>
  <r>
    <s v="1.2.5.9"/>
    <s v="Cerâmica"/>
    <m/>
    <x v="2"/>
    <s v="5.00 dias"/>
    <d v="2022-04-14T00:00:00"/>
    <d v="2022-04-21T00:00:00"/>
    <m/>
    <m/>
    <n v="86.26"/>
    <s v="m²"/>
    <n v="236.90944856477213"/>
    <n v="20435.809033197245"/>
    <n v="21"/>
    <n v="22"/>
    <n v="0.57761004134961225"/>
    <n v="0.42238995865038781"/>
    <n v="11803.928500677841"/>
    <n v="8631.8805325194062"/>
    <x v="12"/>
    <x v="13"/>
  </r>
  <r>
    <s v="1.2.5.10"/>
    <s v="Gesso Liso"/>
    <m/>
    <x v="2"/>
    <s v="5.00 dias"/>
    <d v="2022-04-28T00:00:00"/>
    <d v="2022-05-05T00:00:00"/>
    <m/>
    <m/>
    <n v="447.45"/>
    <s v="m²"/>
    <n v="15.222400000000006"/>
    <n v="6811.262880000002"/>
    <n v="23"/>
    <n v="24"/>
    <n v="0.45986419526518629"/>
    <n v="0.54013580473481371"/>
    <n v="3132.2559230508359"/>
    <n v="3679.0069569491661"/>
    <x v="13"/>
    <x v="14"/>
  </r>
  <r>
    <s v="1.2.5.11"/>
    <s v="Esquadria "/>
    <m/>
    <x v="2"/>
    <s v="5.00 dias"/>
    <d v="2022-05-19T00:00:00"/>
    <d v="2022-05-26T00:00:00"/>
    <m/>
    <m/>
    <n v="21"/>
    <s v="und"/>
    <n v="1261.9047619047619"/>
    <n v="26500"/>
    <n v="26"/>
    <n v="27"/>
    <n v="0.19811320754716982"/>
    <n v="0.80188679245283023"/>
    <n v="5250"/>
    <n v="21250"/>
    <x v="14"/>
    <x v="15"/>
  </r>
  <r>
    <s v="1.2.5.12"/>
    <s v="Fiação"/>
    <m/>
    <x v="2"/>
    <s v="5.00 dias"/>
    <d v="2022-05-26T00:00:00"/>
    <d v="2022-06-02T00:00:00"/>
    <m/>
    <m/>
    <n v="4"/>
    <s v="apto"/>
    <n v="1283.6297966501836"/>
    <n v="5134.5191866007344"/>
    <n v="27"/>
    <n v="28"/>
    <n v="0.62323497906319991"/>
    <n v="0.37676502093680009"/>
    <n v="3200.011957760707"/>
    <n v="1934.5072288400274"/>
    <x v="15"/>
    <x v="16"/>
  </r>
  <r>
    <s v="1.2.5.13"/>
    <s v="Forro"/>
    <m/>
    <x v="2"/>
    <s v="5.00 dias"/>
    <d v="2022-06-09T00:00:00"/>
    <d v="2022-06-16T00:00:00"/>
    <m/>
    <m/>
    <n v="29.29"/>
    <s v="m²"/>
    <n v="78.445334999999986"/>
    <n v="2297.6638621499997"/>
    <n v="29"/>
    <n v="30"/>
    <n v="0.31868131868131866"/>
    <n v="0.68131868131868134"/>
    <n v="732.2225494763735"/>
    <n v="1565.4413126736263"/>
    <x v="16"/>
    <x v="17"/>
  </r>
  <r>
    <s v="1.2.5.14"/>
    <s v="Disjuntores e CD"/>
    <m/>
    <x v="2"/>
    <s v="2.50 dias"/>
    <d v="2022-06-16T00:00:00"/>
    <d v="2022-06-20T00:00:00"/>
    <m/>
    <m/>
    <n v="4"/>
    <s v="apto"/>
    <n v="350"/>
    <n v="1400"/>
    <n v="30"/>
    <n v="31"/>
    <n v="1"/>
    <n v="0"/>
    <n v="1400"/>
    <n v="0"/>
    <x v="17"/>
    <x v="18"/>
  </r>
  <r>
    <s v="1.2.5.17"/>
    <s v="Rev. da Circulação"/>
    <s v="GERAL"/>
    <x v="2"/>
    <s v="5.00 dias"/>
    <d v="2022-06-16T00:00:00"/>
    <d v="2022-06-23T00:00:00"/>
    <m/>
    <m/>
    <n v="22.5"/>
    <s v="m²"/>
    <n v="160.77478755454416"/>
    <n v="3617.4327199772438"/>
    <n v="30"/>
    <n v="31"/>
    <n v="0.28742225293711127"/>
    <n v="0.71257774706288879"/>
    <n v="1039.7306622242818"/>
    <n v="2577.7020577529624"/>
    <x v="17"/>
    <x v="19"/>
  </r>
  <r>
    <s v="1.2.5.16"/>
    <s v="Pintura Interna - 1ªdmão"/>
    <m/>
    <x v="2"/>
    <s v="5.00 dias"/>
    <d v="2022-06-23T00:00:00"/>
    <d v="2022-06-30T00:00:00"/>
    <m/>
    <m/>
    <n v="476.74"/>
    <s v="m²"/>
    <n v="31.043507801912533"/>
    <n v="14799.681909483781"/>
    <n v="31"/>
    <n v="32"/>
    <n v="0.52623399439170238"/>
    <n v="0.47376600560829757"/>
    <n v="7788.0957269542669"/>
    <n v="7011.5861825295133"/>
    <x v="18"/>
    <x v="20"/>
  </r>
  <r>
    <s v="1.2.5.18"/>
    <s v="Louças"/>
    <s v="GERAL"/>
    <x v="2"/>
    <s v="2.50 dias"/>
    <d v="2022-07-12T00:00:00"/>
    <d v="2022-07-14T00:00:00"/>
    <m/>
    <m/>
    <n v="16"/>
    <s v="und"/>
    <n v="327.25146699999999"/>
    <n v="5236.0234719999999"/>
    <n v="34"/>
    <n v="34"/>
    <n v="0.15279568352194051"/>
    <n v="0.84720431647805949"/>
    <n v="800.04178534116409"/>
    <n v="4435.9816866588353"/>
    <x v="19"/>
    <x v="21"/>
  </r>
  <r>
    <s v="1.2.5.19"/>
    <s v="Portas de Madeira"/>
    <s v="GERAL"/>
    <x v="2"/>
    <s v="2.50 dias"/>
    <d v="2022-07-14T00:00:00"/>
    <d v="2022-07-18T00:00:00"/>
    <m/>
    <m/>
    <n v="20"/>
    <s v="und"/>
    <n v="520"/>
    <n v="10400"/>
    <n v="34"/>
    <n v="35"/>
    <n v="0.15384615384615385"/>
    <n v="0.84615384615384615"/>
    <n v="1600"/>
    <n v="8800"/>
    <x v="20"/>
    <x v="22"/>
  </r>
  <r>
    <s v="1.2.5.15"/>
    <s v="Piso Laminado + Rodapé"/>
    <m/>
    <x v="2"/>
    <s v="5.00 dias"/>
    <d v="2022-07-19T00:00:00"/>
    <d v="2022-07-25T00:00:00"/>
    <m/>
    <m/>
    <n v="80.88"/>
    <s v="m²"/>
    <n v="162.85785630043145"/>
    <n v="13171.943417578896"/>
    <n v="35"/>
    <n v="36"/>
    <n v="0.15351618107620765"/>
    <n v="0.84648381892379232"/>
    <n v="2022.1064508186032"/>
    <n v="11149.836966760293"/>
    <x v="21"/>
    <x v="23"/>
  </r>
  <r>
    <s v="1.2.5.20"/>
    <s v="Metais"/>
    <m/>
    <x v="2"/>
    <s v="2.50 dias"/>
    <d v="2022-08-04T00:00:00"/>
    <d v="2022-08-08T00:00:00"/>
    <m/>
    <m/>
    <n v="12"/>
    <s v="und"/>
    <n v="111.67"/>
    <n v="1340.04"/>
    <n v="37"/>
    <n v="38"/>
    <n v="0.44776119402985076"/>
    <n v="0.55223880597014929"/>
    <n v="600.01791044776121"/>
    <n v="740.02208955223887"/>
    <x v="22"/>
    <x v="24"/>
  </r>
  <r>
    <s v="1.2.5.21"/>
    <s v="Acabamentos Elétricos"/>
    <m/>
    <x v="2"/>
    <s v="2.50 dias"/>
    <d v="2022-08-04T00:00:00"/>
    <d v="2022-08-08T00:00:00"/>
    <m/>
    <m/>
    <n v="4"/>
    <s v="apto"/>
    <n v="513.50426281564182"/>
    <n v="2054.0170512625673"/>
    <n v="37"/>
    <n v="38"/>
    <n v="0.45"/>
    <n v="0.55000000000000004"/>
    <n v="924.30767306815528"/>
    <n v="1129.709378194412"/>
    <x v="22"/>
    <x v="24"/>
  </r>
  <r>
    <s v="1.2.5.22"/>
    <s v="Pintura Final"/>
    <m/>
    <x v="2"/>
    <s v="5.00 dias"/>
    <d v="2022-08-09T00:00:00"/>
    <d v="2022-08-15T00:00:00"/>
    <m/>
    <m/>
    <n v="614.55999999999995"/>
    <s v="m²"/>
    <n v="6"/>
    <n v="3687.3599999999997"/>
    <n v="38"/>
    <n v="39"/>
    <n v="1"/>
    <n v="0"/>
    <n v="3687.3599999999997"/>
    <n v="0"/>
    <x v="23"/>
    <x v="25"/>
  </r>
  <r>
    <s v="1.2.5.23"/>
    <s v="Complementação e Limpeza"/>
    <m/>
    <x v="2"/>
    <s v="2.50 dias"/>
    <d v="2022-08-16T00:00:00"/>
    <d v="2022-08-18T00:00:00"/>
    <m/>
    <m/>
    <n v="0.25"/>
    <s v="torre"/>
    <n v="2000"/>
    <n v="500"/>
    <n v="39"/>
    <n v="39"/>
    <n v="1"/>
    <n v="0"/>
    <n v="500"/>
    <n v="0"/>
    <x v="24"/>
    <x v="6"/>
  </r>
  <r>
    <s v="1.3"/>
    <s v="PAV2"/>
    <m/>
    <x v="0"/>
    <s v="157.50 dias"/>
    <d v="2022-01-18T00:00:00"/>
    <d v="2022-08-25T00:00:00"/>
    <m/>
    <m/>
    <m/>
    <m/>
    <m/>
    <m/>
    <n v="9"/>
    <n v="40"/>
    <m/>
    <m/>
    <n v="0"/>
    <n v="0"/>
    <x v="25"/>
    <x v="26"/>
  </r>
  <r>
    <s v="1.3.5.3"/>
    <s v="Alvenaria Estrutural"/>
    <m/>
    <x v="2"/>
    <s v="5.00 dias"/>
    <d v="2022-01-18T00:00:00"/>
    <d v="2022-01-24T00:00:00"/>
    <m/>
    <m/>
    <n v="390.7"/>
    <s v="m²"/>
    <n v="247.89395397660905"/>
    <n v="96852.167818661153"/>
    <n v="9"/>
    <n v="10"/>
    <n v="0.13858702989570013"/>
    <n v="0.86141297010429985"/>
    <n v="13422.45427694816"/>
    <n v="83429.71354171299"/>
    <x v="25"/>
    <x v="27"/>
  </r>
  <r>
    <s v="1.3.5.4"/>
    <s v="Estrutura Moldado in Loco"/>
    <s v="GERAL"/>
    <x v="2"/>
    <s v="5.00 dias"/>
    <d v="2022-01-25T00:00:00"/>
    <d v="2022-01-31T00:00:00"/>
    <m/>
    <m/>
    <n v="25.44"/>
    <s v="m³"/>
    <n v="2550.8020330415566"/>
    <n v="64892.403720577204"/>
    <n v="10"/>
    <n v="11"/>
    <n v="0.38396280966583479"/>
    <n v="0.61603719033416515"/>
    <n v="24916.269658522495"/>
    <n v="39976.134062054705"/>
    <x v="26"/>
    <x v="28"/>
  </r>
  <r>
    <s v="1.3.5.5"/>
    <s v="Instalações Hidrossanitárias"/>
    <m/>
    <x v="2"/>
    <s v="5.00 dias"/>
    <d v="2022-02-22T00:00:00"/>
    <d v="2022-02-28T00:00:00"/>
    <m/>
    <m/>
    <n v="1"/>
    <s v="pvto"/>
    <n v="13455.889210118192"/>
    <n v="13455.889210118192"/>
    <n v="14"/>
    <n v="15"/>
    <n v="0.35672482024413354"/>
    <n v="0.64327517975586646"/>
    <n v="4800.0496597043884"/>
    <n v="8655.8395504138043"/>
    <x v="27"/>
    <x v="29"/>
  </r>
  <r>
    <s v="1.3.5.6"/>
    <s v="Reboco Interno"/>
    <m/>
    <x v="2"/>
    <s v="5.00 dias"/>
    <d v="2022-03-08T00:00:00"/>
    <d v="2022-03-14T00:00:00"/>
    <m/>
    <m/>
    <n v="140.59"/>
    <s v="m²"/>
    <n v="7"/>
    <n v="984.13"/>
    <n v="16"/>
    <n v="17"/>
    <n v="0.26486813778256191"/>
    <n v="0.73513186221743809"/>
    <n v="260.66468043595268"/>
    <n v="723.46531956404738"/>
    <x v="28"/>
    <x v="30"/>
  </r>
  <r>
    <s v="1.3.5.7"/>
    <s v="Shaft "/>
    <m/>
    <x v="2"/>
    <s v="2.50 dias"/>
    <d v="2022-03-31T00:00:00"/>
    <d v="2022-04-04T00:00:00"/>
    <m/>
    <m/>
    <n v="10.69"/>
    <s v="m²"/>
    <n v="295.46807160325829"/>
    <n v="3158.5536854388311"/>
    <n v="19"/>
    <n v="20"/>
    <n v="0.62478082992402106"/>
    <n v="0.37521917007597894"/>
    <n v="1973.4037929480482"/>
    <n v="1185.1498924907828"/>
    <x v="11"/>
    <x v="31"/>
  </r>
  <r>
    <s v="1.3.5.8"/>
    <s v="Impermeabilização"/>
    <m/>
    <x v="2"/>
    <s v="5.00 dias"/>
    <d v="2022-04-07T00:00:00"/>
    <d v="2022-04-14T00:00:00"/>
    <m/>
    <m/>
    <n v="6.08"/>
    <s v="m²"/>
    <n v="39.299999999999997"/>
    <n v="238.94399999999999"/>
    <n v="20"/>
    <n v="21"/>
    <n v="0.45815899581589958"/>
    <n v="0.54184100418410042"/>
    <n v="109.47434309623431"/>
    <n v="129.4696569037657"/>
    <x v="29"/>
    <x v="32"/>
  </r>
  <r>
    <s v="1.3.5.9"/>
    <s v="Cerâmica"/>
    <m/>
    <x v="2"/>
    <s v="5.00 dias"/>
    <d v="2022-04-21T00:00:00"/>
    <d v="2022-04-28T00:00:00"/>
    <m/>
    <m/>
    <n v="86.26"/>
    <s v="m²"/>
    <n v="236.90944856477213"/>
    <n v="20435.809033197245"/>
    <n v="22"/>
    <n v="23"/>
    <n v="0.57761004134961225"/>
    <n v="0.42238995865038781"/>
    <n v="11803.928500677841"/>
    <n v="8631.8805325194062"/>
    <x v="30"/>
    <x v="33"/>
  </r>
  <r>
    <s v="1.3.5.10"/>
    <s v="Gesso Liso"/>
    <m/>
    <x v="2"/>
    <s v="5.00 dias"/>
    <d v="2022-05-05T00:00:00"/>
    <d v="2022-05-12T00:00:00"/>
    <m/>
    <m/>
    <n v="447.45"/>
    <s v="m²"/>
    <n v="15.222400000000006"/>
    <n v="6811.262880000002"/>
    <n v="24"/>
    <n v="25"/>
    <n v="0.45986419526518629"/>
    <n v="0.54013580473481371"/>
    <n v="3132.2559230508359"/>
    <n v="3679.0069569491661"/>
    <x v="31"/>
    <x v="34"/>
  </r>
  <r>
    <s v="1.3.5.11"/>
    <s v="Esquadria "/>
    <m/>
    <x v="2"/>
    <s v="5.00 dias"/>
    <d v="2022-05-26T00:00:00"/>
    <d v="2022-06-02T00:00:00"/>
    <m/>
    <m/>
    <n v="21"/>
    <s v="und"/>
    <n v="1261.9047619047619"/>
    <n v="26500"/>
    <n v="27"/>
    <n v="28"/>
    <n v="0.19811320754716982"/>
    <n v="0.80188679245283023"/>
    <n v="5250"/>
    <n v="21250"/>
    <x v="15"/>
    <x v="16"/>
  </r>
  <r>
    <s v="1.3.5.12"/>
    <s v="Fiação"/>
    <m/>
    <x v="2"/>
    <s v="5.00 dias"/>
    <d v="2022-06-02T00:00:00"/>
    <d v="2022-06-09T00:00:00"/>
    <m/>
    <m/>
    <n v="4"/>
    <s v="apto"/>
    <n v="1283.6297966501836"/>
    <n v="5134.5191866007344"/>
    <n v="28"/>
    <n v="29"/>
    <n v="0.62323497906319991"/>
    <n v="0.37676502093680009"/>
    <n v="3200.011957760707"/>
    <n v="1934.5072288400274"/>
    <x v="32"/>
    <x v="35"/>
  </r>
  <r>
    <s v="1.3.5.13"/>
    <s v="Forro"/>
    <m/>
    <x v="2"/>
    <s v="5.00 dias"/>
    <d v="2022-06-16T00:00:00"/>
    <d v="2022-06-23T00:00:00"/>
    <m/>
    <m/>
    <n v="29.29"/>
    <s v="m²"/>
    <n v="78.445334999999986"/>
    <n v="2297.6638621499997"/>
    <n v="30"/>
    <n v="31"/>
    <n v="0.31868131868131866"/>
    <n v="0.68131868131868134"/>
    <n v="732.2225494763735"/>
    <n v="1565.4413126736263"/>
    <x v="17"/>
    <x v="19"/>
  </r>
  <r>
    <s v="1.3.5.14"/>
    <s v="Disjuntores e CD"/>
    <m/>
    <x v="2"/>
    <s v="2.50 dias"/>
    <d v="2022-06-23T00:00:00"/>
    <d v="2022-06-27T00:00:00"/>
    <m/>
    <m/>
    <n v="4"/>
    <s v="apto"/>
    <n v="350"/>
    <n v="1400"/>
    <n v="31"/>
    <n v="32"/>
    <n v="1"/>
    <n v="0"/>
    <n v="1400"/>
    <n v="0"/>
    <x v="18"/>
    <x v="36"/>
  </r>
  <r>
    <s v="1.3.5.17"/>
    <s v="Rev. da Circulação"/>
    <s v="GERAL"/>
    <x v="2"/>
    <s v="5.00 dias"/>
    <d v="2022-06-23T00:00:00"/>
    <d v="2022-06-30T00:00:00"/>
    <m/>
    <m/>
    <n v="22.5"/>
    <s v="m²"/>
    <n v="160.77478755454416"/>
    <n v="3617.4327199772438"/>
    <n v="31"/>
    <n v="32"/>
    <n v="0.28742225293711127"/>
    <n v="0.71257774706288879"/>
    <n v="1039.7306622242818"/>
    <n v="2577.7020577529624"/>
    <x v="18"/>
    <x v="20"/>
  </r>
  <r>
    <s v="1.3.5.16"/>
    <s v="Pintura Interna - 1ªdmão"/>
    <m/>
    <x v="2"/>
    <s v="5.00 dias"/>
    <d v="2022-06-30T00:00:00"/>
    <d v="2022-07-07T00:00:00"/>
    <m/>
    <m/>
    <n v="476.74"/>
    <s v="m²"/>
    <n v="31.043507801912533"/>
    <n v="14799.681909483781"/>
    <n v="32"/>
    <n v="33"/>
    <n v="0.52623399439170238"/>
    <n v="0.47376600560829757"/>
    <n v="7788.0957269542669"/>
    <n v="7011.5861825295133"/>
    <x v="33"/>
    <x v="37"/>
  </r>
  <r>
    <s v="1.3.5.18"/>
    <s v="Louças"/>
    <s v="GERAL"/>
    <x v="2"/>
    <s v="2.50 dias"/>
    <d v="2022-07-14T00:00:00"/>
    <d v="2022-07-18T00:00:00"/>
    <m/>
    <m/>
    <n v="16"/>
    <s v="und"/>
    <n v="327.25146699999999"/>
    <n v="5236.0234719999999"/>
    <n v="34"/>
    <n v="35"/>
    <n v="0.15279568352194051"/>
    <n v="0.84720431647805949"/>
    <n v="800.04178534116409"/>
    <n v="4435.9816866588353"/>
    <x v="20"/>
    <x v="22"/>
  </r>
  <r>
    <s v="1.3.5.19"/>
    <s v="Portas de Madeira"/>
    <s v="GERAL"/>
    <x v="2"/>
    <s v="2.50 dias"/>
    <d v="2022-07-19T00:00:00"/>
    <d v="2022-07-21T00:00:00"/>
    <m/>
    <m/>
    <n v="20"/>
    <s v="und"/>
    <n v="520"/>
    <n v="10400"/>
    <n v="35"/>
    <n v="35"/>
    <n v="0.15384615384615385"/>
    <n v="0.84615384615384615"/>
    <n v="1600"/>
    <n v="8800"/>
    <x v="21"/>
    <x v="38"/>
  </r>
  <r>
    <s v="1.3.5.15"/>
    <s v="Piso Laminado + Rodapé"/>
    <m/>
    <x v="2"/>
    <s v="5.00 dias"/>
    <d v="2022-07-26T00:00:00"/>
    <d v="2022-08-01T00:00:00"/>
    <m/>
    <m/>
    <n v="80.88"/>
    <s v="m²"/>
    <n v="162.85785630043145"/>
    <n v="13171.943417578896"/>
    <n v="36"/>
    <n v="37"/>
    <n v="0.15351618107620765"/>
    <n v="0.84648381892379232"/>
    <n v="2022.1064508186032"/>
    <n v="11149.836966760293"/>
    <x v="34"/>
    <x v="39"/>
  </r>
  <r>
    <s v="1.3.5.20"/>
    <s v="Metais"/>
    <m/>
    <x v="2"/>
    <s v="2.50 dias"/>
    <d v="2022-08-09T00:00:00"/>
    <d v="2022-08-11T00:00:00"/>
    <m/>
    <m/>
    <n v="12"/>
    <s v="und"/>
    <n v="111.67"/>
    <n v="1340.04"/>
    <n v="38"/>
    <n v="38"/>
    <n v="0.44776119402985076"/>
    <n v="0.55223880597014929"/>
    <n v="600.01791044776121"/>
    <n v="740.02208955223887"/>
    <x v="23"/>
    <x v="40"/>
  </r>
  <r>
    <s v="1.3.5.21"/>
    <s v="Acabamentos Elétricos"/>
    <m/>
    <x v="2"/>
    <s v="2.50 dias"/>
    <d v="2022-08-09T00:00:00"/>
    <d v="2022-08-11T00:00:00"/>
    <m/>
    <m/>
    <n v="4"/>
    <s v="apto"/>
    <n v="513.50426281564182"/>
    <n v="2054.0170512625673"/>
    <n v="38"/>
    <n v="38"/>
    <n v="0.45"/>
    <n v="0.55000000000000004"/>
    <n v="924.30767306815528"/>
    <n v="1129.709378194412"/>
    <x v="23"/>
    <x v="40"/>
  </r>
  <r>
    <s v="1.3.5.22"/>
    <s v="Pintura Final"/>
    <m/>
    <x v="2"/>
    <s v="5.00 dias"/>
    <d v="2022-08-16T00:00:00"/>
    <d v="2022-08-22T00:00:00"/>
    <m/>
    <m/>
    <n v="614.55999999999995"/>
    <s v="m²"/>
    <n v="6"/>
    <n v="3687.3599999999997"/>
    <n v="39"/>
    <n v="40"/>
    <n v="1"/>
    <n v="0"/>
    <n v="3687.3599999999997"/>
    <n v="0"/>
    <x v="24"/>
    <x v="41"/>
  </r>
  <r>
    <s v="1.3.5.23"/>
    <s v="Complementação e Limpeza"/>
    <m/>
    <x v="2"/>
    <s v="2.50 dias"/>
    <d v="2022-08-23T00:00:00"/>
    <d v="2022-08-25T00:00:00"/>
    <m/>
    <m/>
    <n v="0.25"/>
    <s v="torre"/>
    <n v="2000"/>
    <n v="500"/>
    <n v="40"/>
    <n v="40"/>
    <n v="1"/>
    <n v="0"/>
    <n v="500"/>
    <n v="0"/>
    <x v="35"/>
    <x v="26"/>
  </r>
  <r>
    <s v="1.4"/>
    <s v="PAV3"/>
    <m/>
    <x v="0"/>
    <s v="152.50 dias"/>
    <d v="2022-02-01T00:00:00"/>
    <d v="2022-09-01T00:00:00"/>
    <m/>
    <m/>
    <s v=" "/>
    <m/>
    <m/>
    <m/>
    <n v="11"/>
    <n v="41"/>
    <m/>
    <m/>
    <n v="0"/>
    <n v="0"/>
    <x v="36"/>
    <x v="42"/>
  </r>
  <r>
    <s v="1.4.5.3"/>
    <s v="Alvenaria Estrutural"/>
    <m/>
    <x v="2"/>
    <s v="5.00 dias"/>
    <d v="2022-02-01T00:00:00"/>
    <d v="2022-02-07T00:00:00"/>
    <m/>
    <m/>
    <n v="390.7"/>
    <s v="m²"/>
    <n v="247.89395397660905"/>
    <n v="96852.167818661153"/>
    <n v="11"/>
    <n v="12"/>
    <n v="0.13858702989570013"/>
    <n v="0.86141297010429985"/>
    <n v="13422.45427694816"/>
    <n v="83429.71354171299"/>
    <x v="36"/>
    <x v="43"/>
  </r>
  <r>
    <s v="1.4.5.4"/>
    <s v="Estrutura Moldado in Loco"/>
    <s v="GERAL"/>
    <x v="2"/>
    <s v="5.00 dias"/>
    <d v="2022-02-08T00:00:00"/>
    <d v="2022-02-14T00:00:00"/>
    <m/>
    <m/>
    <n v="25.44"/>
    <s v="m³"/>
    <n v="2550.8020330415566"/>
    <n v="64892.403720577204"/>
    <n v="12"/>
    <n v="13"/>
    <n v="0.38396280966583479"/>
    <n v="0.61603719033416515"/>
    <n v="24916.269658522495"/>
    <n v="39976.134062054705"/>
    <x v="37"/>
    <x v="44"/>
  </r>
  <r>
    <s v="1.4.5.5"/>
    <s v="Instalações Hidrossanitárias"/>
    <m/>
    <x v="2"/>
    <s v="5.00 dias"/>
    <d v="2022-03-01T00:00:00"/>
    <d v="2022-03-07T00:00:00"/>
    <m/>
    <m/>
    <n v="1"/>
    <s v="pvto"/>
    <n v="13455.889210118192"/>
    <n v="13455.889210118192"/>
    <n v="15"/>
    <n v="16"/>
    <n v="0.35672482024413354"/>
    <n v="0.64327517975586646"/>
    <n v="4800.0496597043884"/>
    <n v="8655.8395504138043"/>
    <x v="9"/>
    <x v="10"/>
  </r>
  <r>
    <s v="1.4.5.6"/>
    <s v="Reboco Interno"/>
    <m/>
    <x v="2"/>
    <s v="5.00 dias"/>
    <d v="2022-03-15T00:00:00"/>
    <d v="2022-03-21T00:00:00"/>
    <m/>
    <m/>
    <n v="140.59"/>
    <s v="m²"/>
    <n v="7"/>
    <n v="984.13"/>
    <n v="17"/>
    <n v="18"/>
    <n v="0.26486813778256191"/>
    <n v="0.73513186221743809"/>
    <n v="260.66468043595268"/>
    <n v="723.46531956404738"/>
    <x v="38"/>
    <x v="45"/>
  </r>
  <r>
    <s v="1.4.5.7"/>
    <s v="Shaft "/>
    <m/>
    <x v="2"/>
    <s v="2.50 dias"/>
    <d v="2022-04-05T00:00:00"/>
    <d v="2022-04-07T00:00:00"/>
    <m/>
    <m/>
    <n v="10.69"/>
    <s v="m²"/>
    <n v="295.46807160325829"/>
    <n v="3158.5536854388311"/>
    <n v="20"/>
    <n v="20"/>
    <n v="0.62478082992402106"/>
    <n v="0.37521917007597894"/>
    <n v="1973.4037929480482"/>
    <n v="1185.1498924907828"/>
    <x v="39"/>
    <x v="12"/>
  </r>
  <r>
    <s v="1.4.5.8"/>
    <s v="Impermeabilização"/>
    <m/>
    <x v="2"/>
    <s v="5.00 dias"/>
    <d v="2022-04-14T00:00:00"/>
    <d v="2022-04-21T00:00:00"/>
    <m/>
    <m/>
    <n v="6.08"/>
    <s v="m²"/>
    <n v="39.299999999999997"/>
    <n v="238.94399999999999"/>
    <n v="21"/>
    <n v="22"/>
    <n v="0.45815899581589958"/>
    <n v="0.54184100418410042"/>
    <n v="109.47434309623431"/>
    <n v="129.4696569037657"/>
    <x v="12"/>
    <x v="13"/>
  </r>
  <r>
    <s v="1.4.5.9"/>
    <s v="Cerâmica"/>
    <m/>
    <x v="2"/>
    <s v="5.00 dias"/>
    <d v="2022-04-28T00:00:00"/>
    <d v="2022-05-05T00:00:00"/>
    <m/>
    <m/>
    <n v="86.26"/>
    <s v="m²"/>
    <n v="236.90944856477213"/>
    <n v="20435.809033197245"/>
    <n v="23"/>
    <n v="24"/>
    <n v="0.57761004134961225"/>
    <n v="0.42238995865038781"/>
    <n v="11803.928500677841"/>
    <n v="8631.8805325194062"/>
    <x v="13"/>
    <x v="14"/>
  </r>
  <r>
    <s v="1.4.5.10"/>
    <s v="Gesso Liso"/>
    <m/>
    <x v="2"/>
    <s v="5.00 dias"/>
    <d v="2022-05-12T00:00:00"/>
    <d v="2022-05-19T00:00:00"/>
    <m/>
    <m/>
    <n v="447.45"/>
    <s v="m²"/>
    <n v="15.222400000000006"/>
    <n v="6811.262880000002"/>
    <n v="25"/>
    <n v="26"/>
    <n v="0.45986419526518629"/>
    <n v="0.54013580473481371"/>
    <n v="3132.2559230508359"/>
    <n v="3679.0069569491661"/>
    <x v="40"/>
    <x v="46"/>
  </r>
  <r>
    <s v="1.4.5.11"/>
    <s v="Esquadria "/>
    <m/>
    <x v="2"/>
    <s v="5.00 dias"/>
    <d v="2022-06-02T00:00:00"/>
    <d v="2022-06-09T00:00:00"/>
    <m/>
    <m/>
    <n v="21"/>
    <s v="und"/>
    <n v="1261.9047619047619"/>
    <n v="26500"/>
    <n v="28"/>
    <n v="29"/>
    <n v="0.19811320754716982"/>
    <n v="0.80188679245283023"/>
    <n v="5250"/>
    <n v="21250"/>
    <x v="32"/>
    <x v="35"/>
  </r>
  <r>
    <s v="1.4.5.12"/>
    <s v="Fiação"/>
    <m/>
    <x v="2"/>
    <s v="5.00 dias"/>
    <d v="2022-06-09T00:00:00"/>
    <d v="2022-06-16T00:00:00"/>
    <m/>
    <m/>
    <n v="4"/>
    <s v="apto"/>
    <n v="1283.6297966501836"/>
    <n v="5134.5191866007344"/>
    <n v="29"/>
    <n v="30"/>
    <n v="0.62323497906319991"/>
    <n v="0.37676502093680009"/>
    <n v="3200.011957760707"/>
    <n v="1934.5072288400274"/>
    <x v="16"/>
    <x v="17"/>
  </r>
  <r>
    <s v="1.4.5.13"/>
    <s v="Forro"/>
    <m/>
    <x v="2"/>
    <s v="5.00 dias"/>
    <d v="2022-06-23T00:00:00"/>
    <d v="2022-06-30T00:00:00"/>
    <m/>
    <m/>
    <n v="29.29"/>
    <s v="m²"/>
    <n v="78.445334999999986"/>
    <n v="2297.6638621499997"/>
    <n v="31"/>
    <n v="32"/>
    <n v="0.31868131868131866"/>
    <n v="0.68131868131868134"/>
    <n v="732.2225494763735"/>
    <n v="1565.4413126736263"/>
    <x v="18"/>
    <x v="20"/>
  </r>
  <r>
    <s v="1.4.5.14"/>
    <s v="Disjuntores e CD"/>
    <m/>
    <x v="2"/>
    <s v="2.50 dias"/>
    <d v="2022-06-30T00:00:00"/>
    <d v="2022-07-04T00:00:00"/>
    <m/>
    <m/>
    <n v="4"/>
    <s v="apto"/>
    <n v="350"/>
    <n v="1400"/>
    <n v="32"/>
    <n v="33"/>
    <n v="1"/>
    <n v="0"/>
    <n v="1400"/>
    <n v="0"/>
    <x v="33"/>
    <x v="47"/>
  </r>
  <r>
    <s v="1.4.5.17"/>
    <s v="Rev. da Circulação"/>
    <s v="GERAL"/>
    <x v="2"/>
    <s v="5.00 dias"/>
    <d v="2022-06-30T00:00:00"/>
    <d v="2022-07-07T00:00:00"/>
    <m/>
    <m/>
    <n v="22.5"/>
    <s v="m²"/>
    <n v="160.77478755454416"/>
    <n v="3617.4327199772438"/>
    <n v="32"/>
    <n v="33"/>
    <n v="0.28742225293711127"/>
    <n v="0.71257774706288879"/>
    <n v="1039.7306622242818"/>
    <n v="2577.7020577529624"/>
    <x v="33"/>
    <x v="37"/>
  </r>
  <r>
    <s v="1.4.5.16"/>
    <s v="Pintura Interna - 1ªdmão"/>
    <m/>
    <x v="2"/>
    <s v="5.00 dias"/>
    <d v="2022-07-07T00:00:00"/>
    <d v="2022-07-14T00:00:00"/>
    <m/>
    <m/>
    <n v="476.74"/>
    <s v="m²"/>
    <n v="31.043507801912533"/>
    <n v="14799.681909483781"/>
    <n v="33"/>
    <n v="34"/>
    <n v="0.52623399439170238"/>
    <n v="0.47376600560829757"/>
    <n v="7788.0957269542669"/>
    <n v="7011.5861825295133"/>
    <x v="41"/>
    <x v="21"/>
  </r>
  <r>
    <s v="1.4.5.18"/>
    <s v="Louças"/>
    <s v="GERAL"/>
    <x v="2"/>
    <s v="2.50 dias"/>
    <d v="2022-07-19T00:00:00"/>
    <d v="2022-07-21T00:00:00"/>
    <m/>
    <m/>
    <n v="16"/>
    <s v="und"/>
    <n v="327.25146699999999"/>
    <n v="5236.0234719999999"/>
    <n v="35"/>
    <n v="35"/>
    <n v="0.15279568352194051"/>
    <n v="0.84720431647805949"/>
    <n v="800.04178534116409"/>
    <n v="4435.9816866588353"/>
    <x v="21"/>
    <x v="38"/>
  </r>
  <r>
    <s v="1.4.5.19"/>
    <s v="Portas de Madeira"/>
    <s v="GERAL"/>
    <x v="2"/>
    <s v="2.50 dias"/>
    <d v="2022-07-21T00:00:00"/>
    <d v="2022-07-25T00:00:00"/>
    <m/>
    <m/>
    <n v="20"/>
    <s v="und"/>
    <n v="520"/>
    <n v="10400"/>
    <n v="35"/>
    <n v="36"/>
    <n v="0.15384615384615385"/>
    <n v="0.84615384615384615"/>
    <n v="1600"/>
    <n v="8800"/>
    <x v="42"/>
    <x v="23"/>
  </r>
  <r>
    <s v="1.4.5.15"/>
    <s v="Piso Laminado + Rodapé"/>
    <m/>
    <x v="2"/>
    <s v="5.00 dias"/>
    <d v="2022-08-02T00:00:00"/>
    <d v="2022-08-08T00:00:00"/>
    <m/>
    <m/>
    <n v="80.88"/>
    <s v="m²"/>
    <n v="162.85785630043145"/>
    <n v="13171.943417578896"/>
    <n v="37"/>
    <n v="38"/>
    <n v="0.15351618107620765"/>
    <n v="0.84648381892379232"/>
    <n v="2022.1064508186032"/>
    <n v="11149.836966760293"/>
    <x v="43"/>
    <x v="24"/>
  </r>
  <r>
    <s v="1.4.5.20"/>
    <s v="Metais"/>
    <m/>
    <x v="2"/>
    <s v="2.50 dias"/>
    <d v="2022-08-11T00:00:00"/>
    <d v="2022-08-15T00:00:00"/>
    <m/>
    <m/>
    <n v="12"/>
    <s v="und"/>
    <n v="111.67"/>
    <n v="1340.04"/>
    <n v="38"/>
    <n v="39"/>
    <n v="0.44776119402985076"/>
    <n v="0.55223880597014929"/>
    <n v="600.01791044776121"/>
    <n v="740.02208955223887"/>
    <x v="44"/>
    <x v="25"/>
  </r>
  <r>
    <s v="1.4.5.21"/>
    <s v="Acabamentos Elétricos"/>
    <m/>
    <x v="2"/>
    <s v="2.50 dias"/>
    <d v="2022-08-11T00:00:00"/>
    <d v="2022-08-15T00:00:00"/>
    <m/>
    <m/>
    <n v="4"/>
    <s v="apto"/>
    <n v="513.50426281564182"/>
    <n v="2054.0170512625673"/>
    <n v="38"/>
    <n v="39"/>
    <n v="0.45"/>
    <n v="0.55000000000000004"/>
    <n v="924.30767306815528"/>
    <n v="1129.709378194412"/>
    <x v="44"/>
    <x v="25"/>
  </r>
  <r>
    <s v="1.4.5.22"/>
    <s v="Pintura Final"/>
    <m/>
    <x v="2"/>
    <s v="5.00 dias"/>
    <d v="2022-08-23T00:00:00"/>
    <d v="2022-08-29T00:00:00"/>
    <m/>
    <m/>
    <n v="614.55999999999995"/>
    <s v="m²"/>
    <n v="6"/>
    <n v="3687.3599999999997"/>
    <n v="40"/>
    <n v="41"/>
    <n v="1"/>
    <n v="0"/>
    <n v="3687.3599999999997"/>
    <n v="0"/>
    <x v="35"/>
    <x v="48"/>
  </r>
  <r>
    <s v="1.4.5.23"/>
    <s v="Complementação e Limpeza"/>
    <m/>
    <x v="2"/>
    <s v="2.50 dias"/>
    <d v="2022-08-30T00:00:00"/>
    <d v="2022-09-01T00:00:00"/>
    <m/>
    <m/>
    <n v="0.25"/>
    <s v="torre"/>
    <n v="2000"/>
    <n v="500"/>
    <n v="41"/>
    <n v="41"/>
    <n v="1"/>
    <n v="0"/>
    <n v="500"/>
    <n v="0"/>
    <x v="45"/>
    <x v="42"/>
  </r>
  <r>
    <s v="1.5"/>
    <s v="PAV4"/>
    <m/>
    <x v="0"/>
    <s v="147.50 dias"/>
    <d v="2022-02-15T00:00:00"/>
    <d v="2022-09-09T00:00:00"/>
    <m/>
    <m/>
    <s v=" "/>
    <m/>
    <m/>
    <m/>
    <n v="13"/>
    <n v="42"/>
    <m/>
    <m/>
    <n v="0"/>
    <n v="0"/>
    <x v="8"/>
    <x v="49"/>
  </r>
  <r>
    <s v="1.5.5.3"/>
    <s v="Alvenaria Estrutural"/>
    <m/>
    <x v="2"/>
    <s v="5.00 dias"/>
    <d v="2022-02-15T00:00:00"/>
    <d v="2022-02-21T00:00:00"/>
    <m/>
    <m/>
    <n v="390.7"/>
    <s v="m²"/>
    <n v="247.89395397660905"/>
    <n v="96852.167818661153"/>
    <n v="13"/>
    <n v="14"/>
    <n v="0.13858702989570013"/>
    <n v="0.86141297010429985"/>
    <n v="13422.45427694816"/>
    <n v="83429.71354171299"/>
    <x v="8"/>
    <x v="9"/>
  </r>
  <r>
    <s v="1.5.5.4"/>
    <s v="Estrutura Moldado in Loco"/>
    <s v="GERAL"/>
    <x v="2"/>
    <s v="5.00 dias"/>
    <d v="2022-02-22T00:00:00"/>
    <d v="2022-02-28T00:00:00"/>
    <m/>
    <m/>
    <n v="26.73"/>
    <s v="m³"/>
    <n v="2550.8020330415566"/>
    <n v="68182.938343200804"/>
    <n v="14"/>
    <n v="15"/>
    <n v="0.38396280966583479"/>
    <n v="0.61603719033416515"/>
    <n v="26179.71257752776"/>
    <n v="42003.225765673043"/>
    <x v="27"/>
    <x v="29"/>
  </r>
  <r>
    <s v="1.5.5.5"/>
    <s v="Instalações Hidrossanitárias"/>
    <m/>
    <x v="2"/>
    <s v="5.00 dias"/>
    <d v="2022-03-08T00:00:00"/>
    <d v="2022-03-14T00:00:00"/>
    <m/>
    <m/>
    <n v="1"/>
    <s v="pvto"/>
    <n v="13455.889210118192"/>
    <n v="13455.889210118192"/>
    <n v="16"/>
    <n v="17"/>
    <n v="0.35672482024413354"/>
    <n v="0.64327517975586646"/>
    <n v="4800.0496597043884"/>
    <n v="8655.8395504138043"/>
    <x v="28"/>
    <x v="30"/>
  </r>
  <r>
    <s v="1.5.5.6"/>
    <s v="Reboco Interno"/>
    <m/>
    <x v="2"/>
    <s v="5.00 dias"/>
    <d v="2022-03-22T00:00:00"/>
    <d v="2022-03-28T00:00:00"/>
    <m/>
    <m/>
    <n v="140.59"/>
    <s v="m²"/>
    <n v="7"/>
    <n v="984.13"/>
    <n v="18"/>
    <n v="19"/>
    <n v="0.26486813778256191"/>
    <n v="0.73513186221743809"/>
    <n v="260.66468043595268"/>
    <n v="723.46531956404738"/>
    <x v="46"/>
    <x v="50"/>
  </r>
  <r>
    <s v="1.5.5.7"/>
    <s v="Shaft "/>
    <m/>
    <x v="2"/>
    <s v="2.50 dias"/>
    <d v="2022-04-07T00:00:00"/>
    <d v="2022-04-11T00:00:00"/>
    <m/>
    <m/>
    <n v="10.69"/>
    <s v="m²"/>
    <n v="295.46807160325829"/>
    <n v="3158.5536854388311"/>
    <n v="20"/>
    <n v="21"/>
    <n v="0.62478082992402106"/>
    <n v="0.37521917007597894"/>
    <n v="1973.4037929480482"/>
    <n v="1185.1498924907828"/>
    <x v="29"/>
    <x v="51"/>
  </r>
  <r>
    <s v="1.5.5.8"/>
    <s v="Impermeabilização"/>
    <m/>
    <x v="2"/>
    <s v="5.00 dias"/>
    <d v="2022-04-21T00:00:00"/>
    <d v="2022-04-28T00:00:00"/>
    <m/>
    <m/>
    <n v="6.08"/>
    <s v="m²"/>
    <n v="39.299999999999997"/>
    <n v="238.94399999999999"/>
    <n v="22"/>
    <n v="23"/>
    <n v="0.45815899581589958"/>
    <n v="0.54184100418410042"/>
    <n v="109.47434309623431"/>
    <n v="129.4696569037657"/>
    <x v="30"/>
    <x v="33"/>
  </r>
  <r>
    <s v="1.5.5.9"/>
    <s v="Cerâmica"/>
    <m/>
    <x v="2"/>
    <s v="5.00 dias"/>
    <d v="2022-05-05T00:00:00"/>
    <d v="2022-05-12T00:00:00"/>
    <m/>
    <m/>
    <n v="86.26"/>
    <s v="m²"/>
    <n v="236.90944856477213"/>
    <n v="20435.809033197245"/>
    <n v="24"/>
    <n v="25"/>
    <n v="0.57761004134961225"/>
    <n v="0.42238995865038781"/>
    <n v="11803.928500677841"/>
    <n v="8631.8805325194062"/>
    <x v="31"/>
    <x v="34"/>
  </r>
  <r>
    <s v="1.5.5.10"/>
    <s v="Gesso Liso"/>
    <m/>
    <x v="2"/>
    <s v="5.00 dias"/>
    <d v="2022-05-19T00:00:00"/>
    <d v="2022-05-26T00:00:00"/>
    <m/>
    <m/>
    <n v="447.45"/>
    <s v="m²"/>
    <n v="15.222400000000006"/>
    <n v="6811.262880000002"/>
    <n v="26"/>
    <n v="27"/>
    <n v="0.45986419526518629"/>
    <n v="0.54013580473481371"/>
    <n v="3132.2559230508359"/>
    <n v="3679.0069569491661"/>
    <x v="14"/>
    <x v="15"/>
  </r>
  <r>
    <s v="1.5.5.11"/>
    <s v="Esquadria "/>
    <m/>
    <x v="2"/>
    <s v="5.00 dias"/>
    <d v="2022-06-09T00:00:00"/>
    <d v="2022-06-16T00:00:00"/>
    <m/>
    <m/>
    <n v="21"/>
    <s v="und"/>
    <n v="1261.9047619047619"/>
    <n v="26500"/>
    <n v="29"/>
    <n v="30"/>
    <n v="0.19811320754716982"/>
    <n v="0.80188679245283023"/>
    <n v="5250"/>
    <n v="21250"/>
    <x v="16"/>
    <x v="17"/>
  </r>
  <r>
    <s v="1.5.5.12"/>
    <s v="Fiação"/>
    <m/>
    <x v="2"/>
    <s v="5.00 dias"/>
    <d v="2022-06-16T00:00:00"/>
    <d v="2022-06-23T00:00:00"/>
    <m/>
    <m/>
    <n v="4"/>
    <s v="apto"/>
    <n v="1283.6297966501836"/>
    <n v="5134.5191866007344"/>
    <n v="30"/>
    <n v="31"/>
    <n v="0.62323497906319991"/>
    <n v="0.37676502093680009"/>
    <n v="3200.011957760707"/>
    <n v="1934.5072288400274"/>
    <x v="17"/>
    <x v="19"/>
  </r>
  <r>
    <s v="1.5.5.13"/>
    <s v="Forro"/>
    <m/>
    <x v="2"/>
    <s v="5.00 dias"/>
    <d v="2022-06-30T00:00:00"/>
    <d v="2022-07-07T00:00:00"/>
    <m/>
    <m/>
    <n v="29.29"/>
    <s v="m²"/>
    <n v="78.445334999999986"/>
    <n v="2297.6638621499997"/>
    <n v="32"/>
    <n v="33"/>
    <n v="0.31868131868131866"/>
    <n v="0.68131868131868134"/>
    <n v="732.2225494763735"/>
    <n v="1565.4413126736263"/>
    <x v="33"/>
    <x v="37"/>
  </r>
  <r>
    <s v="1.5.5.14"/>
    <s v="Disjuntores e CD"/>
    <m/>
    <x v="2"/>
    <s v="2.50 dias"/>
    <d v="2022-07-07T00:00:00"/>
    <d v="2022-07-11T00:00:00"/>
    <m/>
    <m/>
    <n v="4"/>
    <s v="apto"/>
    <n v="350"/>
    <n v="1400"/>
    <n v="33"/>
    <n v="34"/>
    <n v="1"/>
    <n v="0"/>
    <n v="1400"/>
    <n v="0"/>
    <x v="41"/>
    <x v="52"/>
  </r>
  <r>
    <s v="1.5.5.17"/>
    <s v="Rev. da Circulação"/>
    <s v="GERAL"/>
    <x v="2"/>
    <s v="5.00 dias"/>
    <d v="2022-07-07T00:00:00"/>
    <d v="2022-07-14T00:00:00"/>
    <m/>
    <m/>
    <n v="22.5"/>
    <s v="m²"/>
    <n v="160.77478755454416"/>
    <n v="3617.4327199772438"/>
    <n v="33"/>
    <n v="34"/>
    <n v="0.28742225293711127"/>
    <n v="0.71257774706288879"/>
    <n v="1039.7306622242818"/>
    <n v="2577.7020577529624"/>
    <x v="41"/>
    <x v="21"/>
  </r>
  <r>
    <s v="1.5.5.16"/>
    <s v="Pintura Interna - 1ªdmão"/>
    <m/>
    <x v="2"/>
    <s v="5.00 dias"/>
    <d v="2022-07-14T00:00:00"/>
    <d v="2022-07-21T00:00:00"/>
    <m/>
    <m/>
    <n v="476.74"/>
    <s v="m²"/>
    <n v="31.043507801912533"/>
    <n v="14799.681909483781"/>
    <n v="34"/>
    <n v="35"/>
    <n v="0.52623399439170238"/>
    <n v="0.47376600560829757"/>
    <n v="7788.0957269542669"/>
    <n v="7011.5861825295133"/>
    <x v="20"/>
    <x v="38"/>
  </r>
  <r>
    <s v="1.5.5.18"/>
    <s v="Louças"/>
    <s v="GERAL"/>
    <x v="2"/>
    <s v="2.50 dias"/>
    <d v="2022-07-21T00:00:00"/>
    <d v="2022-07-25T00:00:00"/>
    <m/>
    <m/>
    <n v="16"/>
    <s v="und"/>
    <n v="327.25146699999999"/>
    <n v="5236.0234719999999"/>
    <n v="35"/>
    <n v="36"/>
    <n v="0.15279568352194051"/>
    <n v="0.84720431647805949"/>
    <n v="800.04178534116409"/>
    <n v="4435.9816866588353"/>
    <x v="42"/>
    <x v="23"/>
  </r>
  <r>
    <s v="1.5.5.19"/>
    <s v="Portas de Madeira"/>
    <s v="GERAL"/>
    <x v="2"/>
    <s v="2.50 dias"/>
    <d v="2022-07-26T00:00:00"/>
    <d v="2022-07-28T00:00:00"/>
    <m/>
    <m/>
    <n v="20"/>
    <s v="und"/>
    <n v="520"/>
    <n v="10400"/>
    <n v="36"/>
    <n v="36"/>
    <n v="0.15384615384615385"/>
    <n v="0.84615384615384615"/>
    <n v="1600"/>
    <n v="8800"/>
    <x v="34"/>
    <x v="53"/>
  </r>
  <r>
    <s v="1.5.5.15"/>
    <s v="Piso Laminado + Rodapé"/>
    <m/>
    <x v="2"/>
    <s v="5.00 dias"/>
    <d v="2022-08-09T00:00:00"/>
    <d v="2022-08-15T00:00:00"/>
    <m/>
    <m/>
    <n v="80.88"/>
    <s v="m²"/>
    <n v="162.85785630043145"/>
    <n v="13171.943417578896"/>
    <n v="38"/>
    <n v="39"/>
    <n v="0.15351618107620765"/>
    <n v="0.84648381892379232"/>
    <n v="2022.1064508186032"/>
    <n v="11149.836966760293"/>
    <x v="23"/>
    <x v="25"/>
  </r>
  <r>
    <s v="1.5.5.20"/>
    <s v="Metais"/>
    <m/>
    <x v="2"/>
    <s v="2.50 dias"/>
    <d v="2022-08-16T00:00:00"/>
    <d v="2022-08-18T00:00:00"/>
    <m/>
    <m/>
    <n v="12"/>
    <s v="und"/>
    <n v="111.67"/>
    <n v="1340.04"/>
    <n v="39"/>
    <n v="39"/>
    <n v="0.44776119402985076"/>
    <n v="0.55223880597014929"/>
    <n v="600.01791044776121"/>
    <n v="740.02208955223887"/>
    <x v="24"/>
    <x v="6"/>
  </r>
  <r>
    <s v="1.5.5.21"/>
    <s v="Acabamentos Elétricos"/>
    <m/>
    <x v="2"/>
    <s v="2.50 dias"/>
    <d v="2022-08-16T00:00:00"/>
    <d v="2022-08-18T00:00:00"/>
    <m/>
    <m/>
    <n v="4"/>
    <s v="apto"/>
    <n v="513.50426281564182"/>
    <n v="2054.0170512625673"/>
    <n v="39"/>
    <n v="39"/>
    <n v="0.45"/>
    <n v="0.55000000000000004"/>
    <n v="924.30767306815528"/>
    <n v="1129.709378194412"/>
    <x v="24"/>
    <x v="6"/>
  </r>
  <r>
    <s v="1.5.5.22"/>
    <s v="Pintura Final"/>
    <m/>
    <x v="2"/>
    <s v="5.00 dias"/>
    <d v="2022-08-30T00:00:00"/>
    <d v="2022-09-05T00:00:00"/>
    <m/>
    <m/>
    <n v="614.55999999999995"/>
    <s v="m²"/>
    <n v="6"/>
    <n v="3687.3599999999997"/>
    <n v="41"/>
    <n v="42"/>
    <n v="1"/>
    <n v="0"/>
    <n v="3687.3599999999997"/>
    <n v="0"/>
    <x v="45"/>
    <x v="54"/>
  </r>
  <r>
    <s v="1.5.5.23"/>
    <s v="Complementação e Limpeza"/>
    <m/>
    <x v="2"/>
    <s v="2.50 dias"/>
    <d v="2022-09-06T00:00:00"/>
    <d v="2022-09-09T00:00:00"/>
    <m/>
    <m/>
    <n v="0.25"/>
    <s v="torre"/>
    <n v="2000"/>
    <n v="500"/>
    <n v="42"/>
    <n v="42"/>
    <n v="1"/>
    <n v="0"/>
    <n v="500"/>
    <n v="0"/>
    <x v="47"/>
    <x v="49"/>
  </r>
  <r>
    <s v="1.6"/>
    <s v="COB"/>
    <m/>
    <x v="0"/>
    <s v="40.00 dias"/>
    <d v="2022-03-01T00:00:00"/>
    <d v="2022-04-25T00:00:00"/>
    <m/>
    <m/>
    <s v=" "/>
    <m/>
    <m/>
    <m/>
    <n v="15"/>
    <n v="23"/>
    <m/>
    <m/>
    <n v="0"/>
    <n v="0"/>
    <x v="9"/>
    <x v="55"/>
  </r>
  <r>
    <s v="1.6.6.1"/>
    <s v="Alvenaria Estrutural"/>
    <m/>
    <x v="3"/>
    <s v="5.00 dias"/>
    <d v="2022-03-01T00:00:00"/>
    <d v="2022-03-07T00:00:00"/>
    <m/>
    <m/>
    <n v="81.7"/>
    <s v="m²"/>
    <n v="247.89395397660905"/>
    <n v="20252.936039888962"/>
    <n v="15"/>
    <n v="16"/>
    <n v="0.13858702989570013"/>
    <n v="0.86141297010429985"/>
    <n v="2806.7942524357941"/>
    <n v="17446.141787453169"/>
    <x v="9"/>
    <x v="10"/>
  </r>
  <r>
    <s v="1.6.6.2"/>
    <s v="Instalações Hidrossanitárias"/>
    <m/>
    <x v="3"/>
    <s v="5.00 dias"/>
    <d v="2022-03-15T00:00:00"/>
    <d v="2022-03-21T00:00:00"/>
    <m/>
    <m/>
    <m/>
    <m/>
    <n v="13455.889210118192"/>
    <n v="0"/>
    <n v="17"/>
    <n v="18"/>
    <n v="0.35672482024413354"/>
    <n v="0.64327517975586646"/>
    <n v="0"/>
    <n v="0"/>
    <x v="38"/>
    <x v="45"/>
  </r>
  <r>
    <s v="1.6.6.4"/>
    <s v="Telhado"/>
    <m/>
    <x v="3"/>
    <s v="5.00 dias"/>
    <d v="2022-03-22T00:00:00"/>
    <d v="2022-03-28T00:00:00"/>
    <m/>
    <m/>
    <n v="243.7"/>
    <s v="m²"/>
    <n v="209.65947672607118"/>
    <n v="51094.014478143545"/>
    <n v="18"/>
    <n v="19"/>
    <n v="0.48683772728162372"/>
    <n v="0.51316227271837633"/>
    <n v="24874.49388623378"/>
    <n v="26219.520591909768"/>
    <x v="46"/>
    <x v="50"/>
  </r>
  <r>
    <s v="1.6.6.5"/>
    <s v="Algerosas + Rufos"/>
    <m/>
    <x v="3"/>
    <s v="5.00 dias"/>
    <d v="2022-04-19T00:00:00"/>
    <d v="2022-04-25T00:00:00"/>
    <m/>
    <m/>
    <n v="75.180000000000007"/>
    <s v="m"/>
    <n v="134.24139437622111"/>
    <n v="10092.268029204304"/>
    <n v="22"/>
    <n v="23"/>
    <n v="0.24772096710265556"/>
    <n v="0.75227903289734444"/>
    <n v="2500.0663964537021"/>
    <n v="7592.2016327506026"/>
    <x v="48"/>
    <x v="55"/>
  </r>
  <r>
    <n v="2"/>
    <s v="FACHADA"/>
    <m/>
    <x v="0"/>
    <s v="93.00 dias"/>
    <d v="2022-03-08T00:00:00"/>
    <d v="2022-07-14T00:00:00"/>
    <m/>
    <m/>
    <s v=" "/>
    <m/>
    <m/>
    <m/>
    <n v="16"/>
    <n v="34"/>
    <m/>
    <m/>
    <n v="0"/>
    <n v="0"/>
    <x v="28"/>
    <x v="21"/>
  </r>
  <r>
    <s v="2.1"/>
    <s v="PANO1"/>
    <m/>
    <x v="0"/>
    <s v="68.00 dias"/>
    <d v="2022-03-08T00:00:00"/>
    <d v="2022-06-09T00:00:00"/>
    <m/>
    <m/>
    <s v=" "/>
    <m/>
    <m/>
    <m/>
    <n v="16"/>
    <n v="29"/>
    <m/>
    <m/>
    <n v="0"/>
    <n v="0"/>
    <x v="28"/>
    <x v="35"/>
  </r>
  <r>
    <s v="2.1.7.1"/>
    <s v="Reboco Externo"/>
    <m/>
    <x v="4"/>
    <s v="5.00 dias"/>
    <d v="2022-03-08T00:00:00"/>
    <d v="2022-03-14T00:00:00"/>
    <m/>
    <m/>
    <n v="126.22"/>
    <s v="m²"/>
    <n v="111.22574674641417"/>
    <n v="14038.913754332398"/>
    <n v="16"/>
    <n v="17"/>
    <n v="0.31851905468495528"/>
    <n v="0.68148094531504466"/>
    <n v="4471.6615378335719"/>
    <n v="9567.2522164988259"/>
    <x v="28"/>
    <x v="30"/>
  </r>
  <r>
    <s v="2.1.7.2"/>
    <s v="Pintura Externa "/>
    <m/>
    <x v="4"/>
    <s v="5.00 dias"/>
    <d v="2022-06-03T00:00:00"/>
    <d v="2022-06-09T00:00:00"/>
    <m/>
    <m/>
    <n v="126.22"/>
    <s v="m²"/>
    <n v="49.707079999999983"/>
    <n v="6274.0276375999974"/>
    <n v="28"/>
    <n v="29"/>
    <n v="0.40235935644098908"/>
    <n v="0.59764064355901092"/>
    <n v="2524.4137225577142"/>
    <n v="3749.6139150422832"/>
    <x v="49"/>
    <x v="35"/>
  </r>
  <r>
    <s v="2.2"/>
    <s v="PANO2"/>
    <m/>
    <x v="0"/>
    <s v="68.00 dias"/>
    <d v="2022-03-15T00:00:00"/>
    <d v="2022-06-16T00:00:00"/>
    <m/>
    <m/>
    <m/>
    <m/>
    <m/>
    <m/>
    <n v="17"/>
    <n v="30"/>
    <m/>
    <m/>
    <n v="0"/>
    <n v="0"/>
    <x v="38"/>
    <x v="17"/>
  </r>
  <r>
    <s v="2.2.7.1"/>
    <s v="Reboco Externo"/>
    <m/>
    <x v="4"/>
    <s v="5.00 dias"/>
    <d v="2022-03-15T00:00:00"/>
    <d v="2022-03-21T00:00:00"/>
    <m/>
    <m/>
    <n v="142.51"/>
    <s v="m²"/>
    <n v="111.22574674641417"/>
    <n v="15850.781168831483"/>
    <n v="17"/>
    <n v="18"/>
    <n v="0.31851905468495528"/>
    <n v="0.68148094531504466"/>
    <n v="5048.7758339142947"/>
    <n v="10802.005334917189"/>
    <x v="38"/>
    <x v="45"/>
  </r>
  <r>
    <s v="2.2.7.2"/>
    <s v="Pintura Externa "/>
    <m/>
    <x v="4"/>
    <s v="5.00 dias"/>
    <d v="2022-06-10T00:00:00"/>
    <d v="2022-06-16T00:00:00"/>
    <m/>
    <m/>
    <n v="142.51"/>
    <s v="m²"/>
    <n v="49.707079999999983"/>
    <n v="7083.7559707999972"/>
    <n v="29"/>
    <n v="30"/>
    <n v="0.40235935644098908"/>
    <n v="0.59764064355901092"/>
    <n v="2850.2154935961007"/>
    <n v="4233.5404772038964"/>
    <x v="50"/>
    <x v="17"/>
  </r>
  <r>
    <s v="2.3"/>
    <s v="PANO3"/>
    <m/>
    <x v="0"/>
    <s v="68.00 dias"/>
    <d v="2022-03-22T00:00:00"/>
    <d v="2022-06-23T00:00:00"/>
    <m/>
    <m/>
    <m/>
    <m/>
    <m/>
    <m/>
    <n v="18"/>
    <n v="31"/>
    <m/>
    <m/>
    <n v="0"/>
    <n v="0"/>
    <x v="46"/>
    <x v="19"/>
  </r>
  <r>
    <s v="2.3.7.1"/>
    <s v="Reboco Externo"/>
    <m/>
    <x v="4"/>
    <s v="5.00 dias"/>
    <d v="2022-03-22T00:00:00"/>
    <d v="2022-03-28T00:00:00"/>
    <m/>
    <m/>
    <n v="113.41"/>
    <s v="m²"/>
    <n v="111.22574674641417"/>
    <n v="12614.11193851083"/>
    <n v="18"/>
    <n v="19"/>
    <n v="0.31851905468495528"/>
    <n v="0.68148094531504466"/>
    <n v="4017.8350103446783"/>
    <n v="8596.2769281661513"/>
    <x v="46"/>
    <x v="50"/>
  </r>
  <r>
    <s v="2.3.7.2"/>
    <s v="Pintura Externa "/>
    <m/>
    <x v="4"/>
    <s v="5.00 dias"/>
    <d v="2022-06-17T00:00:00"/>
    <d v="2022-06-23T00:00:00"/>
    <m/>
    <m/>
    <n v="113.41"/>
    <s v="m²"/>
    <n v="49.707079999999983"/>
    <n v="5637.279942799998"/>
    <n v="30"/>
    <n v="31"/>
    <n v="0.40235935644098908"/>
    <n v="0.59764064355901092"/>
    <n v="2268.212329862703"/>
    <n v="3369.0676129372951"/>
    <x v="51"/>
    <x v="19"/>
  </r>
  <r>
    <s v="2.4"/>
    <s v="PANO4"/>
    <m/>
    <x v="0"/>
    <s v="68.00 dias"/>
    <d v="2022-03-29T00:00:00"/>
    <d v="2022-06-30T00:00:00"/>
    <m/>
    <m/>
    <m/>
    <m/>
    <m/>
    <m/>
    <n v="19"/>
    <n v="32"/>
    <m/>
    <m/>
    <n v="0"/>
    <n v="0"/>
    <x v="10"/>
    <x v="20"/>
  </r>
  <r>
    <s v="2.4.7.1"/>
    <s v="Reboco Externo"/>
    <m/>
    <x v="4"/>
    <s v="5.00 dias"/>
    <d v="2022-03-29T00:00:00"/>
    <d v="2022-04-04T00:00:00"/>
    <m/>
    <m/>
    <n v="124.84"/>
    <s v="m²"/>
    <n v="111.22574674641417"/>
    <n v="13885.422223822346"/>
    <n v="19"/>
    <n v="20"/>
    <n v="0.31851905468495528"/>
    <n v="0.68148094531504466"/>
    <n v="4422.7715606333632"/>
    <n v="9462.6506631889824"/>
    <x v="10"/>
    <x v="31"/>
  </r>
  <r>
    <s v="2.4.7.2"/>
    <s v="Pintura Externa "/>
    <m/>
    <x v="4"/>
    <s v="5.00 dias"/>
    <d v="2022-06-24T00:00:00"/>
    <d v="2022-06-30T00:00:00"/>
    <m/>
    <m/>
    <n v="124.84"/>
    <s v="m²"/>
    <n v="49.707079999999983"/>
    <n v="6205.4318671999981"/>
    <n v="31"/>
    <n v="32"/>
    <n v="0.40235935644098908"/>
    <n v="0.59764064355901092"/>
    <n v="2496.8135725249963"/>
    <n v="3708.6182946750018"/>
    <x v="52"/>
    <x v="20"/>
  </r>
  <r>
    <s v="2.5"/>
    <s v="PANO5"/>
    <m/>
    <x v="0"/>
    <s v="68.00 dias"/>
    <d v="2022-04-05T00:00:00"/>
    <d v="2022-07-07T00:00:00"/>
    <m/>
    <m/>
    <m/>
    <m/>
    <m/>
    <m/>
    <n v="20"/>
    <n v="33"/>
    <m/>
    <m/>
    <n v="0"/>
    <n v="0"/>
    <x v="39"/>
    <x v="37"/>
  </r>
  <r>
    <s v="2.5.7.1"/>
    <s v="Reboco Externo"/>
    <m/>
    <x v="4"/>
    <s v="5.00 dias"/>
    <d v="2022-04-05T00:00:00"/>
    <d v="2022-04-11T00:00:00"/>
    <m/>
    <m/>
    <n v="138.44"/>
    <s v="m²"/>
    <n v="111.22574674641417"/>
    <n v="15398.092379573578"/>
    <n v="20"/>
    <n v="21"/>
    <n v="0.31851905468495528"/>
    <n v="0.68148094531504466"/>
    <n v="4904.5858286933899"/>
    <n v="10493.506550880187"/>
    <x v="39"/>
    <x v="51"/>
  </r>
  <r>
    <s v="2.5.7.2"/>
    <s v="Pintura Externa "/>
    <m/>
    <x v="4"/>
    <s v="5.00 dias"/>
    <d v="2022-07-01T00:00:00"/>
    <d v="2022-07-07T00:00:00"/>
    <m/>
    <m/>
    <n v="138.44"/>
    <s v="m²"/>
    <n v="49.707079999999983"/>
    <n v="6881.4481551999979"/>
    <n v="32"/>
    <n v="33"/>
    <n v="0.40235935644098908"/>
    <n v="0.59764064355901092"/>
    <n v="2768.8150511083027"/>
    <n v="4112.6331040916948"/>
    <x v="53"/>
    <x v="37"/>
  </r>
  <r>
    <s v="2.6"/>
    <s v="PANO6"/>
    <m/>
    <x v="0"/>
    <s v="68.00 dias"/>
    <d v="2022-04-12T00:00:00"/>
    <d v="2022-07-14T00:00:00"/>
    <m/>
    <m/>
    <m/>
    <m/>
    <m/>
    <m/>
    <n v="21"/>
    <n v="34"/>
    <m/>
    <m/>
    <n v="0"/>
    <n v="0"/>
    <x v="54"/>
    <x v="21"/>
  </r>
  <r>
    <s v="2.6.7.1"/>
    <s v="Reboco Externo"/>
    <m/>
    <x v="4"/>
    <s v="5.00 dias"/>
    <d v="2022-04-12T00:00:00"/>
    <d v="2022-04-18T00:00:00"/>
    <m/>
    <m/>
    <n v="99.85"/>
    <s v="m²"/>
    <n v="111.22574674641417"/>
    <n v="11105.890812629455"/>
    <n v="21"/>
    <n v="22"/>
    <n v="0.31851905468495528"/>
    <n v="0.68148094531504466"/>
    <n v="3537.437843073064"/>
    <n v="7568.4529695563906"/>
    <x v="54"/>
    <x v="56"/>
  </r>
  <r>
    <s v="2.6.7.2"/>
    <s v="Pintura Externa "/>
    <m/>
    <x v="4"/>
    <s v="5.00 dias"/>
    <d v="2022-07-08T00:00:00"/>
    <d v="2022-07-14T00:00:00"/>
    <m/>
    <m/>
    <n v="99.85"/>
    <s v="m²"/>
    <n v="49.707079999999983"/>
    <n v="4963.2519379999985"/>
    <n v="33"/>
    <n v="34"/>
    <n v="0.40235935644098908"/>
    <n v="0.59764064355901092"/>
    <n v="1997.0108556281712"/>
    <n v="2966.2410823718274"/>
    <x v="55"/>
    <x v="2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1"/>
    <s v="ESTRUTURA/ACABAMENTO"/>
    <m/>
    <m/>
    <s v="207.50 dias"/>
    <s v="ESTRUTURA/ACABAMENTO"/>
    <d v="2021-11-22T00:00:00"/>
    <d v="2022-09-09T00:00:00"/>
    <m/>
    <m/>
    <m/>
    <m/>
    <m/>
    <s v=" "/>
    <m/>
    <m/>
    <m/>
    <n v="1"/>
    <n v="42"/>
    <m/>
    <m/>
    <m/>
    <m/>
    <m/>
    <m/>
    <m/>
    <s v=" "/>
    <m/>
    <m/>
    <m/>
    <m/>
    <x v="0"/>
    <m/>
    <m/>
    <x v="0"/>
    <m/>
  </r>
  <r>
    <s v="1.1"/>
    <s v="FUND"/>
    <m/>
    <m/>
    <s v="30.00 dias"/>
    <s v="FUND"/>
    <d v="2021-11-22T00:00:00"/>
    <d v="2022-01-03T00:00:00"/>
    <m/>
    <m/>
    <m/>
    <m/>
    <m/>
    <s v=" "/>
    <m/>
    <m/>
    <m/>
    <n v="1"/>
    <n v="7"/>
    <m/>
    <m/>
    <m/>
    <m/>
    <m/>
    <m/>
    <m/>
    <s v=" "/>
    <m/>
    <m/>
    <m/>
    <m/>
    <x v="0"/>
    <m/>
    <m/>
    <x v="0"/>
    <m/>
  </r>
  <r>
    <s v="1.1.0.1"/>
    <s v="Locação e Gabarito"/>
    <m/>
    <s v="FUNDAÇÃO"/>
    <s v="5.00 dias"/>
    <s v="Locação e Gabarito"/>
    <d v="2021-11-22T00:00:00"/>
    <d v="2021-11-26T00:00:00"/>
    <n v="1"/>
    <d v="2021-11-22T00:00:00"/>
    <d v="2021-11-26T00:00:00"/>
    <s v="executado"/>
    <s v="executado"/>
    <n v="74.739999999999995"/>
    <s v="m²"/>
    <n v="36.400132810000002"/>
    <n v="2720.5459262193999"/>
    <n v="1"/>
    <n v="1"/>
    <n v="0.56523337008452779"/>
    <n v="0.43476662991547227"/>
    <n v="1537.7433423467246"/>
    <n v="1182.8025838726755"/>
    <d v="2021-11-07T00:00:00"/>
    <d v="2021-12-11T00:00:00"/>
    <m/>
    <m/>
    <m/>
    <m/>
    <n v="1"/>
    <n v="2720.5459262193999"/>
    <x v="1"/>
    <n v="2720.5459262193999"/>
    <s v="EXE"/>
    <x v="1"/>
    <n v="0"/>
  </r>
  <r>
    <s v="1.1.0.2"/>
    <s v="Estacas"/>
    <m/>
    <s v="FUNDAÇÃO"/>
    <s v="10.00 dias"/>
    <s v="EstacasFUND"/>
    <d v="2021-11-29T00:00:00"/>
    <d v="2021-12-10T00:00:00"/>
    <n v="1"/>
    <d v="2021-11-29T00:00:00"/>
    <d v="2021-12-10T00:00:00"/>
    <s v="executado"/>
    <s v="executado"/>
    <n v="14.82"/>
    <s v="m³"/>
    <n v="2317.9512940424352"/>
    <n v="34352.038177708891"/>
    <n v="2"/>
    <n v="3"/>
    <n v="0.78946296026779217"/>
    <n v="0.21053703973220783"/>
    <n v="27119.661751006275"/>
    <n v="7232.3764267026172"/>
    <d v="2021-11-14T00:00:00"/>
    <d v="2021-12-25T00:00:00"/>
    <s v="FUND"/>
    <s v="EST_FUND"/>
    <s v="EST"/>
    <s v="Construct"/>
    <n v="1"/>
    <n v="34352.038177708891"/>
    <x v="2"/>
    <n v="34352.038177708891"/>
    <s v="EXE"/>
    <x v="1"/>
    <n v="0"/>
  </r>
  <r>
    <s v="1.1.0.3"/>
    <s v="Vigas Baldrames"/>
    <m/>
    <s v="FUNDAÇÃO"/>
    <s v="5.00 dias"/>
    <s v="Vigas BaldramesFUND"/>
    <d v="2021-12-13T00:00:00"/>
    <d v="2021-12-17T00:00:00"/>
    <n v="1"/>
    <d v="2021-12-13T00:00:00"/>
    <d v="2021-12-17T00:00:00"/>
    <s v="executado"/>
    <s v="executado"/>
    <n v="18.11"/>
    <s v="m³"/>
    <n v="3866.9904848461024"/>
    <n v="70031.197680562909"/>
    <n v="4"/>
    <n v="4"/>
    <n v="0.25730234417382863"/>
    <n v="0.74269765582617142"/>
    <n v="18019.191328509627"/>
    <n v="52012.006352053286"/>
    <d v="2021-11-28T00:00:00"/>
    <d v="2022-01-01T00:00:00"/>
    <s v="FUND"/>
    <s v="VGB_FUND"/>
    <s v="VGB"/>
    <s v="Construct"/>
    <n v="1"/>
    <n v="70031.197680562909"/>
    <x v="3"/>
    <n v="70031.197680562909"/>
    <s v="EXE"/>
    <x v="1"/>
    <n v="0"/>
  </r>
  <r>
    <s v="1.1.0.4"/>
    <s v="Instalações Enterradas"/>
    <m/>
    <s v="FUNDAÇÃO"/>
    <s v="5.00 dias"/>
    <s v="Instalações EnterradasFUND"/>
    <d v="2021-12-20T00:00:00"/>
    <d v="2021-12-24T00:00:00"/>
    <n v="1"/>
    <d v="2021-12-20T00:00:00"/>
    <d v="2021-12-24T00:00:00"/>
    <s v="executado"/>
    <s v="executado"/>
    <n v="1"/>
    <s v="torre"/>
    <n v="350"/>
    <n v="350"/>
    <n v="5"/>
    <n v="5"/>
    <n v="1"/>
    <n v="0"/>
    <n v="350"/>
    <n v="0"/>
    <d v="2021-12-05T00:00:00"/>
    <d v="2022-01-08T00:00:00"/>
    <s v="FUND"/>
    <s v="INSENT_FUND"/>
    <s v="INSENT"/>
    <s v="Construct"/>
    <n v="1"/>
    <n v="350"/>
    <x v="4"/>
    <n v="350"/>
    <s v="EXE"/>
    <x v="1"/>
    <n v="0"/>
  </r>
  <r>
    <s v="1.1.0.5"/>
    <s v="Contrapiso"/>
    <m/>
    <s v="FUNDAÇÃO"/>
    <s v="5.00 dias"/>
    <s v="ContrapisoFUND"/>
    <d v="2021-12-27T00:00:00"/>
    <d v="2022-01-03T00:00:00"/>
    <n v="1"/>
    <d v="2021-12-27T00:00:00"/>
    <d v="2022-01-03T00:00:00"/>
    <s v="executado"/>
    <s v="executado"/>
    <n v="224.41"/>
    <s v="m²"/>
    <n v="155.57182168692589"/>
    <n v="34911.872504763036"/>
    <n v="6"/>
    <n v="7"/>
    <n v="0.54167046916318939"/>
    <n v="0.45832953083681055"/>
    <n v="18910.730359020446"/>
    <n v="16001.142145742588"/>
    <d v="2021-12-12T00:00:00"/>
    <d v="2022-01-18T00:00:00"/>
    <s v="FUND"/>
    <s v="CONT_FUND"/>
    <s v="CONT"/>
    <s v="Construct"/>
    <n v="1"/>
    <n v="34911.872504763036"/>
    <x v="5"/>
    <n v="34911.872504763036"/>
    <s v="EXE"/>
    <x v="1"/>
    <n v="0"/>
  </r>
  <r>
    <s v="1.2"/>
    <s v="PAV1"/>
    <m/>
    <m/>
    <s v="162.50 dias"/>
    <s v="PAV1"/>
    <d v="2022-01-04T00:00:00"/>
    <d v="2022-08-18T00:00:00"/>
    <m/>
    <m/>
    <m/>
    <m/>
    <m/>
    <s v=" "/>
    <m/>
    <m/>
    <m/>
    <n v="7"/>
    <n v="39"/>
    <m/>
    <m/>
    <n v="0"/>
    <n v="0"/>
    <d v="2021-12-20T00:00:00"/>
    <d v="2022-09-02T00:00:00"/>
    <m/>
    <s v=" "/>
    <m/>
    <m/>
    <m/>
    <m/>
    <x v="0"/>
    <m/>
    <m/>
    <x v="0"/>
    <m/>
  </r>
  <r>
    <s v="1.2.5.3"/>
    <s v="Alvenaria Estrutural"/>
    <m/>
    <s v="TIPO"/>
    <s v="5.00 dias"/>
    <s v="Alvenaria EstruturalPAV1"/>
    <d v="2022-01-04T00:00:00"/>
    <d v="2022-01-10T00:00:00"/>
    <n v="1"/>
    <d v="2022-01-04T00:00:00"/>
    <d v="2022-01-10T00:00:00"/>
    <s v="executado"/>
    <s v="executado"/>
    <n v="389.58"/>
    <s v="m²"/>
    <n v="247.89395397660905"/>
    <n v="96574.526590207359"/>
    <n v="7"/>
    <n v="8"/>
    <n v="0.13858702989570013"/>
    <n v="0.86141297010429985"/>
    <n v="13383.976803720154"/>
    <n v="83190.549786487201"/>
    <d v="2021-12-20T00:00:00"/>
    <d v="2022-01-25T00:00:00"/>
    <s v="PAV1"/>
    <s v="ALV_PAV1"/>
    <s v="ALV"/>
    <s v="Construct"/>
    <n v="1"/>
    <n v="96574.526590207359"/>
    <x v="6"/>
    <n v="96574.526590207359"/>
    <s v="EXE"/>
    <x v="1"/>
    <n v="0"/>
  </r>
  <r>
    <s v="1.2.5.4"/>
    <s v="Estrutura Moldado in Loco"/>
    <s v="GERAL"/>
    <s v="TIPO"/>
    <s v="5.00 dias"/>
    <s v="Estrutura Moldado in LocoPAV1"/>
    <d v="2022-01-11T00:00:00"/>
    <d v="2022-01-17T00:00:00"/>
    <n v="1"/>
    <d v="2022-01-11T00:00:00"/>
    <d v="2022-01-24T00:00:00"/>
    <s v="executado"/>
    <s v="executado"/>
    <n v="25.44"/>
    <s v="m³"/>
    <n v="2550.8020330415566"/>
    <n v="64892.403720577204"/>
    <n v="8"/>
    <n v="9"/>
    <n v="0.38396280966583479"/>
    <n v="0.61603719033416515"/>
    <n v="24916.269658522495"/>
    <n v="39976.134062054705"/>
    <d v="2021-12-27T00:00:00"/>
    <d v="2022-02-01T00:00:00"/>
    <s v="PAV1"/>
    <s v="ESTINLOCO_PAV1"/>
    <s v="ESTINLOCO"/>
    <s v="Construct"/>
    <n v="1"/>
    <n v="64892.403720577204"/>
    <x v="7"/>
    <n v="64892.403720577204"/>
    <s v="EXE"/>
    <x v="1"/>
    <n v="0"/>
  </r>
  <r>
    <s v="1.2.5.5"/>
    <s v="Instalações Hidrossanitárias"/>
    <m/>
    <s v="TIPO"/>
    <s v="5.00 dias"/>
    <s v="Instalações HidrossanitáriasPAV1"/>
    <d v="2022-02-15T00:00:00"/>
    <d v="2022-02-21T00:00:00"/>
    <n v="1"/>
    <d v="2022-03-02T00:00:00"/>
    <d v="2022-03-06T00:00:00"/>
    <s v="executado"/>
    <s v="executado"/>
    <n v="1"/>
    <s v="pvto"/>
    <n v="13455.889210118192"/>
    <n v="13455.889210118192"/>
    <n v="13"/>
    <n v="14"/>
    <n v="0.35672482024413354"/>
    <n v="0.64327517975586646"/>
    <n v="4800.0496597043884"/>
    <n v="8655.8395504138043"/>
    <d v="2022-01-31T00:00:00"/>
    <d v="2022-03-08T00:00:00"/>
    <s v="PAV1"/>
    <s v="HIDRO_PAV1"/>
    <s v="HIDRO"/>
    <s v="Construct"/>
    <n v="1"/>
    <n v="13455.889210118192"/>
    <x v="8"/>
    <n v="13455.889210118192"/>
    <s v="EXE"/>
    <x v="1"/>
    <n v="0"/>
  </r>
  <r>
    <s v="1.2.5.6"/>
    <s v="Reboco Interno"/>
    <m/>
    <s v="TIPO"/>
    <s v="5.00 dias"/>
    <s v="Reboco InternoPAV1"/>
    <d v="2022-03-01T00:00:00"/>
    <d v="2022-03-07T00:00:00"/>
    <n v="1"/>
    <d v="2022-03-07T00:00:00"/>
    <d v="2022-03-11T00:00:00"/>
    <s v="executado"/>
    <s v="executado"/>
    <n v="140.59"/>
    <s v="m²"/>
    <n v="7"/>
    <n v="984.13"/>
    <n v="15"/>
    <n v="16"/>
    <n v="0.26486813778256191"/>
    <n v="0.73513186221743809"/>
    <n v="260.66468043595268"/>
    <n v="723.46531956404738"/>
    <d v="2022-02-14T00:00:00"/>
    <d v="2022-03-22T00:00:00"/>
    <s v="PAV1"/>
    <s v="REBINT_PAV1"/>
    <s v="REBINT"/>
    <s v="Construct"/>
    <n v="1"/>
    <n v="984.13"/>
    <x v="9"/>
    <n v="984.13"/>
    <s v="EXE"/>
    <x v="1"/>
    <n v="0"/>
  </r>
  <r>
    <s v="1.2.5.7"/>
    <s v="Shaft "/>
    <m/>
    <s v="TIPO"/>
    <s v="2.50 dias"/>
    <s v="Shaft PAV1"/>
    <d v="2022-03-29T00:00:00"/>
    <d v="2022-03-31T00:00:00"/>
    <m/>
    <m/>
    <m/>
    <d v="2022-04-04T00:00:00"/>
    <d v="2022-04-06T00:00:00"/>
    <n v="10.69"/>
    <s v="m²"/>
    <n v="295.46807160325829"/>
    <n v="3158.5536854388311"/>
    <n v="19"/>
    <n v="19"/>
    <n v="0.62478082992402106"/>
    <n v="0.37521917007597894"/>
    <n v="1973.4037929480482"/>
    <n v="1185.1498924907828"/>
    <d v="2022-03-14T00:00:00"/>
    <d v="2022-04-15T00:00:00"/>
    <s v="PAV1"/>
    <s v="SHAFT_PAV1"/>
    <s v="SHAFT"/>
    <s v="Construct"/>
    <m/>
    <n v="0"/>
    <x v="10"/>
    <n v="0"/>
    <n v="20"/>
    <x v="2"/>
    <n v="3158.5536854388311"/>
  </r>
  <r>
    <s v="1.2.5.8"/>
    <s v="Impermeabilização"/>
    <m/>
    <s v="TIPO"/>
    <s v="5.00 dias"/>
    <s v="ImpermeabilizaçãoPAV1"/>
    <d v="2022-03-31T00:00:00"/>
    <d v="2022-04-07T00:00:00"/>
    <m/>
    <m/>
    <m/>
    <d v="2022-04-06T00:00:00"/>
    <d v="2022-04-13T00:00:00"/>
    <n v="6.08"/>
    <s v="m²"/>
    <n v="39.299999999999997"/>
    <n v="238.94399999999999"/>
    <n v="19"/>
    <n v="20"/>
    <n v="0.45815899581589958"/>
    <n v="0.54184100418410042"/>
    <n v="109.47434309623431"/>
    <n v="129.4696569037657"/>
    <d v="2022-03-16T00:00:00"/>
    <d v="2022-04-22T00:00:00"/>
    <s v="PAV1"/>
    <s v="IMP_PAV1"/>
    <s v="IMP"/>
    <s v="Construct"/>
    <m/>
    <n v="0"/>
    <x v="10"/>
    <n v="0"/>
    <n v="20"/>
    <x v="3"/>
    <n v="238.94399999999999"/>
  </r>
  <r>
    <s v="1.2.5.9"/>
    <s v="Cerâmica"/>
    <m/>
    <s v="TIPO"/>
    <s v="5.00 dias"/>
    <s v="CerâmicaPAV1"/>
    <d v="2022-04-14T00:00:00"/>
    <d v="2022-04-21T00:00:00"/>
    <m/>
    <m/>
    <m/>
    <d v="2022-04-20T00:00:00"/>
    <d v="2022-04-27T00:00:00"/>
    <n v="86.26"/>
    <s v="m²"/>
    <n v="236.90944856477213"/>
    <n v="20435.809033197245"/>
    <n v="21"/>
    <n v="22"/>
    <n v="0.57761004134961225"/>
    <n v="0.42238995865038781"/>
    <n v="11803.928500677841"/>
    <n v="8631.8805325194062"/>
    <d v="2022-03-30T00:00:00"/>
    <d v="2022-05-06T00:00:00"/>
    <s v="PAV1"/>
    <s v="CERAM_PAV1"/>
    <s v="CERAM"/>
    <s v="Construct"/>
    <m/>
    <n v="0"/>
    <x v="10"/>
    <n v="0"/>
    <n v="22"/>
    <x v="4"/>
    <n v="20435.809033197245"/>
  </r>
  <r>
    <s v="1.2.5.10"/>
    <s v="Gesso Liso"/>
    <m/>
    <s v="TIPO"/>
    <s v="5.00 dias"/>
    <s v="Gesso LisoPAV1"/>
    <d v="2022-04-28T00:00:00"/>
    <d v="2022-05-05T00:00:00"/>
    <m/>
    <m/>
    <m/>
    <d v="2022-05-04T00:00:00"/>
    <d v="2022-05-11T00:00:00"/>
    <n v="447.45"/>
    <s v="m²"/>
    <n v="15.222400000000006"/>
    <n v="6811.262880000002"/>
    <n v="23"/>
    <n v="24"/>
    <n v="0.45986419526518629"/>
    <n v="0.54013580473481371"/>
    <n v="3132.2559230508359"/>
    <n v="3679.0069569491661"/>
    <d v="2022-04-13T00:00:00"/>
    <d v="2022-05-20T00:00:00"/>
    <s v="PAV1"/>
    <s v="GEPINT_PAV1"/>
    <s v="GESSO"/>
    <s v="Construct"/>
    <m/>
    <n v="0"/>
    <x v="10"/>
    <n v="0"/>
    <n v="24"/>
    <x v="5"/>
    <n v="6811.262880000002"/>
  </r>
  <r>
    <s v="1.2.5.11"/>
    <s v="Esquadria "/>
    <m/>
    <s v="TIPO"/>
    <s v="5.00 dias"/>
    <s v="Esquadria PAV1"/>
    <d v="2022-05-19T00:00:00"/>
    <d v="2022-05-26T00:00:00"/>
    <m/>
    <m/>
    <m/>
    <d v="2022-05-25T00:00:00"/>
    <d v="2022-06-01T00:00:00"/>
    <n v="21"/>
    <s v="und"/>
    <n v="1261.9047619047619"/>
    <n v="26500"/>
    <n v="26"/>
    <n v="27"/>
    <n v="0.19811320754716982"/>
    <n v="0.80188679245283023"/>
    <n v="5250"/>
    <n v="21250"/>
    <d v="2022-05-04T00:00:00"/>
    <d v="2022-06-10T00:00:00"/>
    <s v="PAV1"/>
    <s v="ESQ_PAV1"/>
    <s v="ESQ"/>
    <s v="Construct"/>
    <m/>
    <n v="0"/>
    <x v="10"/>
    <n v="0"/>
    <n v="27"/>
    <x v="6"/>
    <n v="26500"/>
  </r>
  <r>
    <s v="1.2.5.12"/>
    <s v="Fiação"/>
    <m/>
    <s v="TIPO"/>
    <s v="5.00 dias"/>
    <s v="FiaçãoPAV1"/>
    <d v="2022-05-26T00:00:00"/>
    <d v="2022-06-02T00:00:00"/>
    <m/>
    <m/>
    <m/>
    <d v="2022-06-01T00:00:00"/>
    <d v="2022-06-08T00:00:00"/>
    <n v="4"/>
    <s v="apto"/>
    <n v="1283.6297966501836"/>
    <n v="5134.5191866007344"/>
    <n v="27"/>
    <n v="28"/>
    <n v="0.62323497906319991"/>
    <n v="0.37676502093680009"/>
    <n v="3200.011957760707"/>
    <n v="1934.5072288400274"/>
    <d v="2022-05-11T00:00:00"/>
    <d v="2022-06-17T00:00:00"/>
    <s v="PAV1"/>
    <s v="GEPINT_PAV1"/>
    <s v="FIA"/>
    <s v="Construct"/>
    <m/>
    <n v="0"/>
    <x v="10"/>
    <n v="0"/>
    <n v="28"/>
    <x v="7"/>
    <n v="5134.5191866007344"/>
  </r>
  <r>
    <s v="1.2.5.13"/>
    <s v="Forro"/>
    <m/>
    <s v="TIPO"/>
    <s v="5.00 dias"/>
    <s v="ForroPAV1"/>
    <d v="2022-06-09T00:00:00"/>
    <d v="2022-06-16T00:00:00"/>
    <m/>
    <m/>
    <m/>
    <d v="2022-06-15T00:00:00"/>
    <d v="2022-06-22T00:00:00"/>
    <n v="29.29"/>
    <s v="m²"/>
    <n v="78.445334999999986"/>
    <n v="2297.6638621499997"/>
    <n v="29"/>
    <n v="30"/>
    <n v="0.31868131868131866"/>
    <n v="0.68131868131868134"/>
    <n v="732.2225494763735"/>
    <n v="1565.4413126736263"/>
    <d v="2022-05-25T00:00:00"/>
    <d v="2022-07-01T00:00:00"/>
    <s v="PAV1"/>
    <s v="FOR_PAV1"/>
    <s v="FOR"/>
    <s v="Construct"/>
    <m/>
    <n v="0"/>
    <x v="10"/>
    <n v="0"/>
    <n v="30"/>
    <x v="8"/>
    <n v="2297.6638621499997"/>
  </r>
  <r>
    <s v="1.2.5.14"/>
    <s v="Disjuntores e CD"/>
    <m/>
    <s v="TIPO"/>
    <s v="2.50 dias"/>
    <s v="Disjuntores e CDPAV1"/>
    <d v="2022-06-16T00:00:00"/>
    <d v="2022-06-20T00:00:00"/>
    <m/>
    <m/>
    <m/>
    <d v="2022-06-22T00:00:00"/>
    <d v="2022-06-24T00:00:00"/>
    <n v="4"/>
    <s v="apto"/>
    <n v="350"/>
    <n v="1400"/>
    <n v="30"/>
    <n v="31"/>
    <n v="1"/>
    <n v="0"/>
    <n v="1400"/>
    <n v="0"/>
    <d v="2022-06-01T00:00:00"/>
    <d v="2022-07-05T00:00:00"/>
    <s v="PAV1"/>
    <s v="REVCIRC_PAV1"/>
    <s v="REVCIRC"/>
    <s v="Construct"/>
    <m/>
    <n v="0"/>
    <x v="10"/>
    <n v="0"/>
    <n v="31"/>
    <x v="8"/>
    <n v="1400"/>
  </r>
  <r>
    <s v="1.2.5.17"/>
    <s v="Rev. da Circulação"/>
    <s v="GERAL"/>
    <s v="TIPO"/>
    <s v="5.00 dias"/>
    <s v="Rev. da CirculaçãoPAV1"/>
    <d v="2022-06-16T00:00:00"/>
    <d v="2022-06-23T00:00:00"/>
    <m/>
    <m/>
    <m/>
    <d v="2022-06-22T00:00:00"/>
    <d v="2022-06-29T00:00:00"/>
    <n v="22.5"/>
    <s v="m²"/>
    <n v="160.77478755454416"/>
    <n v="3617.4327199772438"/>
    <n v="30"/>
    <n v="31"/>
    <n v="0.28742225293711127"/>
    <n v="0.71257774706288879"/>
    <n v="1039.7306622242818"/>
    <n v="2577.7020577529624"/>
    <d v="2022-06-01T00:00:00"/>
    <d v="2022-07-08T00:00:00"/>
    <s v="PAV1"/>
    <s v="DISJ_PAV1"/>
    <s v="DISJ"/>
    <s v="Construct"/>
    <m/>
    <n v="0"/>
    <x v="10"/>
    <n v="0"/>
    <n v="31"/>
    <x v="9"/>
    <n v="3617.4327199772438"/>
  </r>
  <r>
    <s v="1.2.5.16"/>
    <s v="Pintura Interna - 1ªdmão"/>
    <m/>
    <s v="TIPO"/>
    <s v="5.00 dias"/>
    <s v="Pintura Interna - 1ªdmãoPAV1"/>
    <d v="2022-06-23T00:00:00"/>
    <d v="2022-06-30T00:00:00"/>
    <m/>
    <m/>
    <m/>
    <d v="2022-06-29T00:00:00"/>
    <d v="2022-07-06T00:00:00"/>
    <n v="476.74"/>
    <s v="m²"/>
    <n v="31.043507801912533"/>
    <n v="14799.681909483781"/>
    <n v="31"/>
    <n v="32"/>
    <n v="0.52623399439170238"/>
    <n v="0.47376600560829757"/>
    <n v="7788.0957269542669"/>
    <n v="7011.5861825295133"/>
    <d v="2022-06-08T00:00:00"/>
    <d v="2022-07-15T00:00:00"/>
    <s v="PAV1"/>
    <s v="GEPINT_PAV1"/>
    <s v="PINT"/>
    <s v="Construct"/>
    <m/>
    <n v="0"/>
    <x v="10"/>
    <n v="0"/>
    <n v="32"/>
    <x v="10"/>
    <n v="14799.681909483781"/>
  </r>
  <r>
    <s v="1.2.5.18"/>
    <s v="Louças"/>
    <s v="GERAL"/>
    <s v="TIPO"/>
    <s v="2.50 dias"/>
    <s v="LouçasPAV1"/>
    <d v="2022-07-12T00:00:00"/>
    <d v="2022-07-14T00:00:00"/>
    <m/>
    <m/>
    <m/>
    <d v="2022-07-12T00:00:00"/>
    <d v="2022-07-14T00:00:00"/>
    <n v="16"/>
    <s v="und"/>
    <n v="327.25146699999999"/>
    <n v="5236.0234719999999"/>
    <n v="34"/>
    <n v="34"/>
    <n v="0.15279568352194051"/>
    <n v="0.84720431647805949"/>
    <n v="800.04178534116409"/>
    <n v="4435.9816866588353"/>
    <d v="2022-06-27T00:00:00"/>
    <d v="2022-07-29T00:00:00"/>
    <s v="PAV1"/>
    <s v="LOU_PAV1"/>
    <s v="LOU"/>
    <s v="Construct"/>
    <m/>
    <n v="0"/>
    <x v="10"/>
    <n v="0"/>
    <n v="34"/>
    <x v="11"/>
    <n v="5236.0234719999999"/>
  </r>
  <r>
    <s v="1.2.5.19"/>
    <s v="Portas de Madeira"/>
    <s v="GERAL"/>
    <s v="TIPO"/>
    <s v="2.50 dias"/>
    <s v="Portas de MadeiraPAV1"/>
    <d v="2022-07-14T00:00:00"/>
    <d v="2022-07-18T00:00:00"/>
    <m/>
    <m/>
    <m/>
    <d v="2022-07-14T00:00:00"/>
    <d v="2022-07-18T00:00:00"/>
    <n v="20"/>
    <s v="und"/>
    <n v="520"/>
    <n v="10400"/>
    <n v="34"/>
    <n v="35"/>
    <n v="0.15384615384615385"/>
    <n v="0.84615384615384615"/>
    <n v="1600"/>
    <n v="8800"/>
    <d v="2022-06-29T00:00:00"/>
    <d v="2022-08-02T00:00:00"/>
    <s v="PAV1"/>
    <s v="PM_PAV1"/>
    <s v="PM"/>
    <s v="Construct"/>
    <m/>
    <n v="0"/>
    <x v="10"/>
    <n v="0"/>
    <n v="34"/>
    <x v="12"/>
    <n v="10400"/>
  </r>
  <r>
    <s v="1.2.5.15"/>
    <s v="Piso Laminado + Rodapé"/>
    <m/>
    <s v="TIPO"/>
    <s v="5.00 dias"/>
    <s v="Piso Laminado + RodapéPAV1"/>
    <d v="2022-07-19T00:00:00"/>
    <d v="2022-07-25T00:00:00"/>
    <m/>
    <m/>
    <m/>
    <d v="2022-07-19T00:00:00"/>
    <d v="2022-07-25T00:00:00"/>
    <n v="80.88"/>
    <s v="m²"/>
    <n v="162.85785630043145"/>
    <n v="13171.943417578896"/>
    <n v="35"/>
    <n v="36"/>
    <n v="0.15351618107620765"/>
    <n v="0.84648381892379232"/>
    <n v="2022.1064508186032"/>
    <n v="11149.836966760293"/>
    <d v="2022-07-04T00:00:00"/>
    <d v="2022-08-09T00:00:00"/>
    <s v="PAV1"/>
    <s v="LAM_PAV1"/>
    <s v="LAM"/>
    <s v="Construct"/>
    <m/>
    <n v="0"/>
    <x v="10"/>
    <n v="0"/>
    <n v="35"/>
    <x v="13"/>
    <n v="13171.943417578896"/>
  </r>
  <r>
    <s v="1.2.5.20"/>
    <s v="Metais"/>
    <m/>
    <s v="TIPO"/>
    <s v="2.50 dias"/>
    <s v="MetaisPAV1"/>
    <d v="2022-08-04T00:00:00"/>
    <d v="2022-08-08T00:00:00"/>
    <m/>
    <m/>
    <m/>
    <d v="2022-08-04T00:00:00"/>
    <d v="2022-08-08T00:00:00"/>
    <n v="12"/>
    <s v="und"/>
    <n v="111.67"/>
    <n v="1340.04"/>
    <n v="37"/>
    <n v="38"/>
    <n v="0.44776119402985076"/>
    <n v="0.55223880597014929"/>
    <n v="600.01791044776121"/>
    <n v="740.02208955223887"/>
    <d v="2022-07-20T00:00:00"/>
    <d v="2022-08-23T00:00:00"/>
    <s v="PAV1"/>
    <s v="METAIS_PAV1"/>
    <s v="METAIS"/>
    <s v="Construct"/>
    <m/>
    <n v="0"/>
    <x v="10"/>
    <n v="0"/>
    <n v="37"/>
    <x v="14"/>
    <n v="1340.04"/>
  </r>
  <r>
    <s v="1.2.5.21"/>
    <s v="Acabamentos Elétricos"/>
    <m/>
    <s v="TIPO"/>
    <s v="2.50 dias"/>
    <s v="Acabamentos ElétricosPAV1"/>
    <d v="2022-08-04T00:00:00"/>
    <d v="2022-08-08T00:00:00"/>
    <m/>
    <m/>
    <m/>
    <d v="2022-08-04T00:00:00"/>
    <d v="2022-08-08T00:00:00"/>
    <n v="4"/>
    <s v="apto"/>
    <n v="513.50426281564182"/>
    <n v="2054.0170512625673"/>
    <n v="37"/>
    <n v="38"/>
    <n v="0.45"/>
    <n v="0.55000000000000004"/>
    <n v="924.30767306815528"/>
    <n v="1129.709378194412"/>
    <d v="2022-07-20T00:00:00"/>
    <d v="2022-08-23T00:00:00"/>
    <s v="PAV1"/>
    <s v="GEPINT_PAV1"/>
    <s v="ACAB"/>
    <s v="Construct"/>
    <m/>
    <n v="0"/>
    <x v="10"/>
    <n v="0"/>
    <n v="37"/>
    <x v="14"/>
    <n v="2054.0170512625673"/>
  </r>
  <r>
    <s v="1.2.5.22"/>
    <s v="Pintura Final"/>
    <m/>
    <s v="TIPO"/>
    <s v="5.00 dias"/>
    <s v="Pintura FinalPAV1"/>
    <d v="2022-08-09T00:00:00"/>
    <d v="2022-08-15T00:00:00"/>
    <m/>
    <m/>
    <m/>
    <d v="2022-08-09T00:00:00"/>
    <d v="2022-08-15T00:00:00"/>
    <n v="614.55999999999995"/>
    <s v="m²"/>
    <n v="6"/>
    <n v="3687.3599999999997"/>
    <n v="38"/>
    <n v="39"/>
    <n v="1"/>
    <n v="0"/>
    <n v="3687.3599999999997"/>
    <n v="0"/>
    <d v="2022-07-25T00:00:00"/>
    <d v="2022-08-30T00:00:00"/>
    <s v="PAV1"/>
    <s v="GEPINT_PAV1"/>
    <s v="PINTF"/>
    <s v="Construct"/>
    <m/>
    <n v="0"/>
    <x v="10"/>
    <n v="0"/>
    <n v="38"/>
    <x v="15"/>
    <n v="3687.3599999999997"/>
  </r>
  <r>
    <s v="1.2.5.23"/>
    <s v="Complementação e Limpeza"/>
    <m/>
    <s v="TIPO"/>
    <s v="2.50 dias"/>
    <s v="Complementação e LimpezaPAV1"/>
    <d v="2022-08-16T00:00:00"/>
    <d v="2022-08-18T00:00:00"/>
    <m/>
    <m/>
    <m/>
    <d v="2022-08-25T00:00:00"/>
    <d v="2022-08-29T00:00:00"/>
    <n v="0.25"/>
    <s v="torre"/>
    <n v="2000"/>
    <n v="500"/>
    <n v="39"/>
    <n v="39"/>
    <n v="1"/>
    <n v="0"/>
    <n v="500"/>
    <n v="0"/>
    <d v="2022-08-01T00:00:00"/>
    <d v="2022-09-02T00:00:00"/>
    <s v="PAV1"/>
    <s v="GEPINT_PAV1"/>
    <s v="COMPL"/>
    <s v="Construct"/>
    <m/>
    <n v="0"/>
    <x v="10"/>
    <n v="0"/>
    <n v="40"/>
    <x v="16"/>
    <n v="500"/>
  </r>
  <r>
    <s v="1.3"/>
    <s v="PAV2"/>
    <m/>
    <m/>
    <s v="157.50 dias"/>
    <s v="PAV2"/>
    <d v="2022-01-18T00:00:00"/>
    <d v="2022-08-25T00:00:00"/>
    <m/>
    <m/>
    <m/>
    <m/>
    <m/>
    <m/>
    <m/>
    <m/>
    <m/>
    <n v="9"/>
    <n v="40"/>
    <m/>
    <m/>
    <n v="0"/>
    <n v="0"/>
    <d v="2022-01-03T00:00:00"/>
    <d v="2022-09-09T00:00:00"/>
    <m/>
    <s v=" "/>
    <m/>
    <m/>
    <m/>
    <m/>
    <x v="0"/>
    <m/>
    <m/>
    <x v="0"/>
    <m/>
  </r>
  <r>
    <s v="1.3.5.3"/>
    <s v="Alvenaria Estrutural"/>
    <m/>
    <s v="TIPO"/>
    <s v="5.00 dias"/>
    <s v="Alvenaria EstruturalPAV2"/>
    <d v="2022-01-18T00:00:00"/>
    <d v="2022-01-24T00:00:00"/>
    <n v="1"/>
    <d v="2021-01-25T00:00:00"/>
    <d v="2022-01-31T00:00:00"/>
    <s v="executado"/>
    <s v="executado"/>
    <n v="390.7"/>
    <s v="m²"/>
    <n v="247.89395397660905"/>
    <n v="96852.167818661153"/>
    <n v="9"/>
    <n v="10"/>
    <n v="0.13858702989570013"/>
    <n v="0.86141297010429985"/>
    <n v="13422.45427694816"/>
    <n v="83429.71354171299"/>
    <d v="2022-01-03T00:00:00"/>
    <d v="2022-02-08T00:00:00"/>
    <s v="PAV2"/>
    <s v="ALV_PAV2"/>
    <s v="ALV"/>
    <s v="Construct"/>
    <n v="1"/>
    <n v="96852.167818661153"/>
    <x v="11"/>
    <n v="96852.167818661153"/>
    <s v="EXE"/>
    <x v="1"/>
    <n v="0"/>
  </r>
  <r>
    <s v="1.3.5.4"/>
    <s v="Estrutura Moldado in Loco"/>
    <s v="GERAL"/>
    <s v="TIPO"/>
    <s v="5.00 dias"/>
    <s v="Estrutura Moldado in LocoPAV2"/>
    <d v="2022-01-25T00:00:00"/>
    <d v="2022-01-31T00:00:00"/>
    <n v="1"/>
    <d v="2022-02-01T00:00:00"/>
    <d v="2022-02-07T00:00:00"/>
    <s v="executado"/>
    <s v="executado"/>
    <n v="25.44"/>
    <s v="m³"/>
    <n v="2550.8020330415566"/>
    <n v="64892.403720577204"/>
    <n v="10"/>
    <n v="11"/>
    <n v="0.38396280966583479"/>
    <n v="0.61603719033416515"/>
    <n v="24916.269658522495"/>
    <n v="39976.134062054705"/>
    <d v="2022-01-10T00:00:00"/>
    <d v="2022-02-15T00:00:00"/>
    <s v="PAV2"/>
    <s v="ESTINLOCO_PAV2"/>
    <s v="ESTINLOCO"/>
    <s v="Construct"/>
    <n v="1"/>
    <n v="64892.403720577204"/>
    <x v="12"/>
    <n v="64892.403720577204"/>
    <s v="EXE"/>
    <x v="1"/>
    <n v="0"/>
  </r>
  <r>
    <s v="1.3.5.5"/>
    <s v="Instalações Hidrossanitárias"/>
    <m/>
    <s v="TIPO"/>
    <s v="5.00 dias"/>
    <s v="Instalações HidrossanitáriasPAV2"/>
    <d v="2022-02-22T00:00:00"/>
    <d v="2022-02-28T00:00:00"/>
    <n v="1"/>
    <d v="2022-03-07T00:00:00"/>
    <d v="2022-03-11T00:00:00"/>
    <s v="executado"/>
    <s v="executado"/>
    <n v="1"/>
    <s v="pvto"/>
    <n v="13455.889210118192"/>
    <n v="13455.889210118192"/>
    <n v="14"/>
    <n v="15"/>
    <n v="0.35672482024413354"/>
    <n v="0.64327517975586646"/>
    <n v="4800.0496597043884"/>
    <n v="8655.8395504138043"/>
    <d v="2022-02-07T00:00:00"/>
    <d v="2022-03-15T00:00:00"/>
    <s v="PAV2"/>
    <s v="HIDRO_PAV2"/>
    <s v="HIDRO"/>
    <s v="Construct"/>
    <n v="1"/>
    <n v="13455.889210118192"/>
    <x v="9"/>
    <n v="13455.889210118192"/>
    <s v="EXE"/>
    <x v="1"/>
    <n v="0"/>
  </r>
  <r>
    <s v="1.3.5.6"/>
    <s v="Reboco Interno"/>
    <m/>
    <s v="TIPO"/>
    <s v="5.00 dias"/>
    <s v="Reboco InternoPAV2"/>
    <d v="2022-03-08T00:00:00"/>
    <d v="2022-03-14T00:00:00"/>
    <n v="1"/>
    <d v="2022-03-12T00:00:00"/>
    <d v="2022-03-18T00:00:00"/>
    <s v="executado"/>
    <s v="executado"/>
    <n v="140.59"/>
    <s v="m²"/>
    <n v="7"/>
    <n v="984.13"/>
    <n v="16"/>
    <n v="17"/>
    <n v="0.26486813778256191"/>
    <n v="0.73513186221743809"/>
    <n v="260.66468043595268"/>
    <n v="723.46531956404738"/>
    <d v="2022-02-21T00:00:00"/>
    <d v="2022-03-29T00:00:00"/>
    <s v="PAV2"/>
    <s v="REBINT_PAV2"/>
    <s v="REBINT"/>
    <s v="Construct"/>
    <n v="1"/>
    <n v="984.13"/>
    <x v="13"/>
    <n v="984.13"/>
    <s v="EXE"/>
    <x v="1"/>
    <n v="0"/>
  </r>
  <r>
    <s v="1.3.5.7"/>
    <s v="Shaft "/>
    <m/>
    <s v="TIPO"/>
    <s v="2.50 dias"/>
    <s v="Shaft PAV2"/>
    <d v="2022-03-31T00:00:00"/>
    <d v="2022-04-04T00:00:00"/>
    <m/>
    <m/>
    <m/>
    <d v="2022-04-06T00:00:00"/>
    <d v="2022-04-08T00:00:00"/>
    <n v="10.69"/>
    <s v="m²"/>
    <n v="295.46807160325829"/>
    <n v="3158.5536854388311"/>
    <n v="19"/>
    <n v="20"/>
    <n v="0.62478082992402106"/>
    <n v="0.37521917007597894"/>
    <n v="1973.4037929480482"/>
    <n v="1185.1498924907828"/>
    <d v="2022-03-16T00:00:00"/>
    <d v="2022-04-19T00:00:00"/>
    <s v="PAV2"/>
    <s v="SHAFT_PAV2"/>
    <s v="SHAFT"/>
    <s v="Construct"/>
    <m/>
    <n v="0"/>
    <x v="10"/>
    <n v="0"/>
    <n v="20"/>
    <x v="2"/>
    <n v="3158.5536854388311"/>
  </r>
  <r>
    <s v="1.3.5.8"/>
    <s v="Impermeabilização"/>
    <m/>
    <s v="TIPO"/>
    <s v="5.00 dias"/>
    <s v="ImpermeabilizaçãoPAV2"/>
    <d v="2022-04-07T00:00:00"/>
    <d v="2022-04-14T00:00:00"/>
    <m/>
    <m/>
    <m/>
    <d v="2022-04-13T00:00:00"/>
    <d v="2022-04-20T00:00:00"/>
    <n v="6.08"/>
    <s v="m²"/>
    <n v="39.299999999999997"/>
    <n v="238.94399999999999"/>
    <n v="20"/>
    <n v="21"/>
    <n v="0.45815899581589958"/>
    <n v="0.54184100418410042"/>
    <n v="109.47434309623431"/>
    <n v="129.4696569037657"/>
    <d v="2022-03-23T00:00:00"/>
    <d v="2022-04-29T00:00:00"/>
    <s v="PAV2"/>
    <s v="IMP_PAV2"/>
    <s v="IMP"/>
    <s v="Construct"/>
    <m/>
    <n v="0"/>
    <x v="10"/>
    <n v="0"/>
    <n v="21"/>
    <x v="17"/>
    <n v="238.94399999999999"/>
  </r>
  <r>
    <s v="1.3.5.9"/>
    <s v="Cerâmica"/>
    <m/>
    <s v="TIPO"/>
    <s v="5.00 dias"/>
    <s v="CerâmicaPAV2"/>
    <d v="2022-04-21T00:00:00"/>
    <d v="2022-04-28T00:00:00"/>
    <m/>
    <m/>
    <m/>
    <d v="2022-04-27T00:00:00"/>
    <d v="2022-05-04T00:00:00"/>
    <n v="86.26"/>
    <s v="m²"/>
    <n v="236.90944856477213"/>
    <n v="20435.809033197245"/>
    <n v="22"/>
    <n v="23"/>
    <n v="0.57761004134961225"/>
    <n v="0.42238995865038781"/>
    <n v="11803.928500677841"/>
    <n v="8631.8805325194062"/>
    <d v="2022-04-06T00:00:00"/>
    <d v="2022-05-13T00:00:00"/>
    <s v="PAV2"/>
    <s v="CERAM_PAV2"/>
    <s v="CERAM"/>
    <s v="Construct"/>
    <m/>
    <n v="0"/>
    <x v="10"/>
    <n v="0"/>
    <n v="23"/>
    <x v="18"/>
    <n v="20435.809033197245"/>
  </r>
  <r>
    <s v="1.3.5.10"/>
    <s v="Gesso Liso"/>
    <m/>
    <s v="TIPO"/>
    <s v="5.00 dias"/>
    <s v="Gesso LisoPAV2"/>
    <d v="2022-05-05T00:00:00"/>
    <d v="2022-05-12T00:00:00"/>
    <m/>
    <m/>
    <m/>
    <d v="2022-05-11T00:00:00"/>
    <d v="2022-05-18T00:00:00"/>
    <n v="447.45"/>
    <s v="m²"/>
    <n v="15.222400000000006"/>
    <n v="6811.262880000002"/>
    <n v="24"/>
    <n v="25"/>
    <n v="0.45986419526518629"/>
    <n v="0.54013580473481371"/>
    <n v="3132.2559230508359"/>
    <n v="3679.0069569491661"/>
    <d v="2022-04-20T00:00:00"/>
    <d v="2022-05-27T00:00:00"/>
    <s v="PAV2"/>
    <s v="GEPINT_PAV2"/>
    <s v="GESSO"/>
    <s v="Construct"/>
    <m/>
    <n v="0"/>
    <x v="10"/>
    <n v="0"/>
    <n v="25"/>
    <x v="19"/>
    <n v="6811.262880000002"/>
  </r>
  <r>
    <s v="1.3.5.11"/>
    <s v="Esquadria "/>
    <m/>
    <s v="TIPO"/>
    <s v="5.00 dias"/>
    <s v="Esquadria PAV2"/>
    <d v="2022-05-26T00:00:00"/>
    <d v="2022-06-02T00:00:00"/>
    <m/>
    <m/>
    <m/>
    <d v="2022-06-01T00:00:00"/>
    <d v="2022-06-08T00:00:00"/>
    <n v="21"/>
    <s v="und"/>
    <n v="1261.9047619047619"/>
    <n v="26500"/>
    <n v="27"/>
    <n v="28"/>
    <n v="0.19811320754716982"/>
    <n v="0.80188679245283023"/>
    <n v="5250"/>
    <n v="21250"/>
    <d v="2022-05-11T00:00:00"/>
    <d v="2022-06-17T00:00:00"/>
    <s v="PAV2"/>
    <s v="ESQ_PAV2"/>
    <s v="ESQ"/>
    <s v="Construct"/>
    <m/>
    <n v="0"/>
    <x v="10"/>
    <n v="0"/>
    <n v="28"/>
    <x v="7"/>
    <n v="26500"/>
  </r>
  <r>
    <s v="1.3.5.12"/>
    <s v="Fiação"/>
    <m/>
    <s v="TIPO"/>
    <s v="5.00 dias"/>
    <s v="FiaçãoPAV2"/>
    <d v="2022-06-02T00:00:00"/>
    <d v="2022-06-09T00:00:00"/>
    <m/>
    <m/>
    <m/>
    <d v="2022-06-08T00:00:00"/>
    <d v="2022-06-15T00:00:00"/>
    <n v="4"/>
    <s v="apto"/>
    <n v="1283.6297966501836"/>
    <n v="5134.5191866007344"/>
    <n v="28"/>
    <n v="29"/>
    <n v="0.62323497906319991"/>
    <n v="0.37676502093680009"/>
    <n v="3200.011957760707"/>
    <n v="1934.5072288400274"/>
    <d v="2022-05-18T00:00:00"/>
    <d v="2022-06-24T00:00:00"/>
    <s v="PAV2"/>
    <s v="GEPINT_PAV2"/>
    <s v="FIA"/>
    <s v="Construct"/>
    <m/>
    <n v="0"/>
    <x v="10"/>
    <n v="0"/>
    <n v="29"/>
    <x v="20"/>
    <n v="5134.5191866007344"/>
  </r>
  <r>
    <s v="1.3.5.13"/>
    <s v="Forro"/>
    <m/>
    <s v="TIPO"/>
    <s v="5.00 dias"/>
    <s v="ForroPAV2"/>
    <d v="2022-06-16T00:00:00"/>
    <d v="2022-06-23T00:00:00"/>
    <m/>
    <m/>
    <m/>
    <d v="2022-06-22T00:00:00"/>
    <d v="2022-06-29T00:00:00"/>
    <n v="29.29"/>
    <s v="m²"/>
    <n v="78.445334999999986"/>
    <n v="2297.6638621499997"/>
    <n v="30"/>
    <n v="31"/>
    <n v="0.31868131868131866"/>
    <n v="0.68131868131868134"/>
    <n v="732.2225494763735"/>
    <n v="1565.4413126736263"/>
    <d v="2022-06-01T00:00:00"/>
    <d v="2022-07-08T00:00:00"/>
    <s v="PAV2"/>
    <s v="FOR_PAV2"/>
    <s v="FOR"/>
    <s v="Construct"/>
    <m/>
    <n v="0"/>
    <x v="10"/>
    <n v="0"/>
    <n v="31"/>
    <x v="9"/>
    <n v="2297.6638621499997"/>
  </r>
  <r>
    <s v="1.3.5.14"/>
    <s v="Disjuntores e CD"/>
    <m/>
    <s v="TIPO"/>
    <s v="2.50 dias"/>
    <s v="Disjuntores e CDPAV2"/>
    <d v="2022-06-23T00:00:00"/>
    <d v="2022-06-27T00:00:00"/>
    <m/>
    <m/>
    <m/>
    <d v="2022-06-29T00:00:00"/>
    <d v="2022-07-01T00:00:00"/>
    <n v="4"/>
    <s v="apto"/>
    <n v="350"/>
    <n v="1400"/>
    <n v="31"/>
    <n v="32"/>
    <n v="1"/>
    <n v="0"/>
    <n v="1400"/>
    <n v="0"/>
    <d v="2022-06-08T00:00:00"/>
    <d v="2022-07-12T00:00:00"/>
    <s v="PAV2"/>
    <s v="REVCIRC_PAV2"/>
    <s v="REVCIRC"/>
    <s v="Construct"/>
    <m/>
    <n v="0"/>
    <x v="10"/>
    <n v="0"/>
    <n v="32"/>
    <x v="9"/>
    <n v="1400"/>
  </r>
  <r>
    <s v="1.3.5.17"/>
    <s v="Rev. da Circulação"/>
    <s v="GERAL"/>
    <s v="TIPO"/>
    <s v="5.00 dias"/>
    <s v="Rev. da CirculaçãoPAV2"/>
    <d v="2022-06-23T00:00:00"/>
    <d v="2022-06-30T00:00:00"/>
    <m/>
    <m/>
    <m/>
    <d v="2022-06-29T00:00:00"/>
    <d v="2022-07-06T00:00:00"/>
    <n v="22.5"/>
    <s v="m²"/>
    <n v="160.77478755454416"/>
    <n v="3617.4327199772438"/>
    <n v="31"/>
    <n v="32"/>
    <n v="0.28742225293711127"/>
    <n v="0.71257774706288879"/>
    <n v="1039.7306622242818"/>
    <n v="2577.7020577529624"/>
    <d v="2022-06-08T00:00:00"/>
    <d v="2022-07-15T00:00:00"/>
    <s v="PAV2"/>
    <s v="DISJ_PAV2"/>
    <s v="DISJ"/>
    <s v="Construct"/>
    <m/>
    <n v="0"/>
    <x v="10"/>
    <n v="0"/>
    <n v="32"/>
    <x v="10"/>
    <n v="3617.4327199772438"/>
  </r>
  <r>
    <s v="1.3.5.16"/>
    <s v="Pintura Interna - 1ªdmão"/>
    <m/>
    <s v="TIPO"/>
    <s v="5.00 dias"/>
    <s v="Pintura Interna - 1ªdmãoPAV2"/>
    <d v="2022-06-30T00:00:00"/>
    <d v="2022-07-07T00:00:00"/>
    <m/>
    <m/>
    <m/>
    <d v="2022-07-06T00:00:00"/>
    <d v="2022-07-13T00:00:00"/>
    <n v="476.74"/>
    <s v="m²"/>
    <n v="31.043507801912533"/>
    <n v="14799.681909483781"/>
    <n v="32"/>
    <n v="33"/>
    <n v="0.52623399439170238"/>
    <n v="0.47376600560829757"/>
    <n v="7788.0957269542669"/>
    <n v="7011.5861825295133"/>
    <d v="2022-06-15T00:00:00"/>
    <d v="2022-07-22T00:00:00"/>
    <s v="PAV2"/>
    <s v="GEPINT_PAV2"/>
    <s v="PINT"/>
    <s v="Construct"/>
    <m/>
    <n v="0"/>
    <x v="10"/>
    <n v="0"/>
    <n v="33"/>
    <x v="11"/>
    <n v="14799.681909483781"/>
  </r>
  <r>
    <s v="1.3.5.18"/>
    <s v="Louças"/>
    <s v="GERAL"/>
    <s v="TIPO"/>
    <s v="2.50 dias"/>
    <s v="LouçasPAV2"/>
    <d v="2022-07-14T00:00:00"/>
    <d v="2022-07-18T00:00:00"/>
    <m/>
    <m/>
    <m/>
    <d v="2022-07-14T00:00:00"/>
    <d v="2022-07-18T00:00:00"/>
    <n v="16"/>
    <s v="und"/>
    <n v="327.25146699999999"/>
    <n v="5236.0234719999999"/>
    <n v="34"/>
    <n v="35"/>
    <n v="0.15279568352194051"/>
    <n v="0.84720431647805949"/>
    <n v="800.04178534116409"/>
    <n v="4435.9816866588353"/>
    <d v="2022-06-29T00:00:00"/>
    <d v="2022-08-02T00:00:00"/>
    <s v="PAV2"/>
    <s v="LOU_PAV2"/>
    <s v="LOU"/>
    <s v="Construct"/>
    <m/>
    <n v="0"/>
    <x v="10"/>
    <n v="0"/>
    <n v="34"/>
    <x v="12"/>
    <n v="5236.0234719999999"/>
  </r>
  <r>
    <s v="1.3.5.19"/>
    <s v="Portas de Madeira"/>
    <s v="GERAL"/>
    <s v="TIPO"/>
    <s v="2.50 dias"/>
    <s v="Portas de MadeiraPAV2"/>
    <d v="2022-07-19T00:00:00"/>
    <d v="2022-07-21T00:00:00"/>
    <m/>
    <m/>
    <m/>
    <d v="2022-07-19T00:00:00"/>
    <d v="2022-07-21T00:00:00"/>
    <n v="20"/>
    <s v="und"/>
    <n v="520"/>
    <n v="10400"/>
    <n v="35"/>
    <n v="35"/>
    <n v="0.15384615384615385"/>
    <n v="0.84615384615384615"/>
    <n v="1600"/>
    <n v="8800"/>
    <d v="2022-07-04T00:00:00"/>
    <d v="2022-08-05T00:00:00"/>
    <s v="PAV2"/>
    <s v="PM_PAV2"/>
    <s v="PM"/>
    <s v="Construct"/>
    <m/>
    <n v="0"/>
    <x v="10"/>
    <n v="0"/>
    <n v="35"/>
    <x v="12"/>
    <n v="10400"/>
  </r>
  <r>
    <s v="1.3.5.15"/>
    <s v="Piso Laminado + Rodapé"/>
    <m/>
    <s v="TIPO"/>
    <s v="5.00 dias"/>
    <s v="Piso Laminado + RodapéPAV2"/>
    <d v="2022-07-26T00:00:00"/>
    <d v="2022-08-01T00:00:00"/>
    <m/>
    <m/>
    <m/>
    <d v="2022-07-26T00:00:00"/>
    <d v="2022-08-01T00:00:00"/>
    <n v="80.88"/>
    <s v="m²"/>
    <n v="162.85785630043145"/>
    <n v="13171.943417578896"/>
    <n v="36"/>
    <n v="37"/>
    <n v="0.15351618107620765"/>
    <n v="0.84648381892379232"/>
    <n v="2022.1064508186032"/>
    <n v="11149.836966760293"/>
    <d v="2022-07-11T00:00:00"/>
    <d v="2022-08-16T00:00:00"/>
    <s v="PAV2"/>
    <s v="LAM_PAV2"/>
    <s v="LAM"/>
    <s v="Construct"/>
    <m/>
    <n v="0"/>
    <x v="10"/>
    <n v="0"/>
    <n v="36"/>
    <x v="21"/>
    <n v="13171.943417578896"/>
  </r>
  <r>
    <s v="1.3.5.20"/>
    <s v="Metais"/>
    <m/>
    <s v="TIPO"/>
    <s v="2.50 dias"/>
    <s v="MetaisPAV2"/>
    <d v="2022-08-09T00:00:00"/>
    <d v="2022-08-11T00:00:00"/>
    <m/>
    <m/>
    <m/>
    <d v="2022-08-09T00:00:00"/>
    <d v="2022-08-11T00:00:00"/>
    <n v="12"/>
    <s v="und"/>
    <n v="111.67"/>
    <n v="1340.04"/>
    <n v="38"/>
    <n v="38"/>
    <n v="0.44776119402985076"/>
    <n v="0.55223880597014929"/>
    <n v="600.01791044776121"/>
    <n v="740.02208955223887"/>
    <d v="2022-07-25T00:00:00"/>
    <d v="2022-08-26T00:00:00"/>
    <s v="PAV2"/>
    <s v="METAIS_PAV2"/>
    <s v="METAIS"/>
    <s v="Construct"/>
    <m/>
    <n v="0"/>
    <x v="10"/>
    <n v="0"/>
    <n v="38"/>
    <x v="14"/>
    <n v="1340.04"/>
  </r>
  <r>
    <s v="1.3.5.21"/>
    <s v="Acabamentos Elétricos"/>
    <m/>
    <s v="TIPO"/>
    <s v="2.50 dias"/>
    <s v="Acabamentos ElétricosPAV2"/>
    <d v="2022-08-09T00:00:00"/>
    <d v="2022-08-11T00:00:00"/>
    <m/>
    <m/>
    <m/>
    <d v="2022-08-09T00:00:00"/>
    <d v="2022-08-11T00:00:00"/>
    <n v="4"/>
    <s v="apto"/>
    <n v="513.50426281564182"/>
    <n v="2054.0170512625673"/>
    <n v="38"/>
    <n v="38"/>
    <n v="0.45"/>
    <n v="0.55000000000000004"/>
    <n v="924.30767306815528"/>
    <n v="1129.709378194412"/>
    <d v="2022-07-25T00:00:00"/>
    <d v="2022-08-26T00:00:00"/>
    <s v="PAV2"/>
    <s v="GEPINT_PAV2"/>
    <s v="ACAB"/>
    <s v="Construct"/>
    <m/>
    <n v="0"/>
    <x v="10"/>
    <n v="0"/>
    <n v="38"/>
    <x v="14"/>
    <n v="2054.0170512625673"/>
  </r>
  <r>
    <s v="1.3.5.22"/>
    <s v="Pintura Final"/>
    <m/>
    <s v="TIPO"/>
    <s v="5.00 dias"/>
    <s v="Pintura FinalPAV2"/>
    <d v="2022-08-16T00:00:00"/>
    <d v="2022-08-22T00:00:00"/>
    <m/>
    <m/>
    <m/>
    <d v="2022-08-16T00:00:00"/>
    <d v="2022-08-22T00:00:00"/>
    <n v="614.55999999999995"/>
    <s v="m²"/>
    <n v="6"/>
    <n v="3687.3599999999997"/>
    <n v="39"/>
    <n v="40"/>
    <n v="1"/>
    <n v="0"/>
    <n v="3687.3599999999997"/>
    <n v="0"/>
    <d v="2022-08-01T00:00:00"/>
    <d v="2022-09-06T00:00:00"/>
    <s v="PAV2"/>
    <s v="GEPINT_PAV2"/>
    <s v="PINTF"/>
    <s v="Construct"/>
    <m/>
    <n v="0"/>
    <x v="10"/>
    <n v="0"/>
    <n v="39"/>
    <x v="22"/>
    <n v="3687.3599999999997"/>
  </r>
  <r>
    <s v="1.3.5.23"/>
    <s v="Complementação e Limpeza"/>
    <m/>
    <s v="TIPO"/>
    <s v="2.50 dias"/>
    <s v="Complementação e LimpezaPAV2"/>
    <d v="2022-08-23T00:00:00"/>
    <d v="2022-08-25T00:00:00"/>
    <m/>
    <m/>
    <m/>
    <d v="2022-08-30T00:00:00"/>
    <d v="2022-09-01T00:00:00"/>
    <n v="0.25"/>
    <s v="torre"/>
    <n v="2000"/>
    <n v="500"/>
    <n v="40"/>
    <n v="40"/>
    <n v="1"/>
    <n v="0"/>
    <n v="500"/>
    <n v="0"/>
    <d v="2022-08-08T00:00:00"/>
    <d v="2022-09-09T00:00:00"/>
    <s v="PAV2"/>
    <s v="GEPINT_PAV2"/>
    <s v="COMPL"/>
    <s v="Construct"/>
    <m/>
    <n v="0"/>
    <x v="10"/>
    <n v="0"/>
    <n v="41"/>
    <x v="16"/>
    <n v="500"/>
  </r>
  <r>
    <s v="1.4"/>
    <s v="PAV3"/>
    <m/>
    <m/>
    <s v="152.50 dias"/>
    <s v="PAV3"/>
    <d v="2022-02-01T00:00:00"/>
    <d v="2022-09-01T00:00:00"/>
    <m/>
    <m/>
    <m/>
    <m/>
    <m/>
    <s v=" "/>
    <m/>
    <m/>
    <m/>
    <n v="11"/>
    <n v="41"/>
    <m/>
    <m/>
    <n v="0"/>
    <n v="0"/>
    <d v="2022-01-17T00:00:00"/>
    <d v="2022-09-16T00:00:00"/>
    <m/>
    <s v=" "/>
    <m/>
    <m/>
    <m/>
    <m/>
    <x v="0"/>
    <m/>
    <m/>
    <x v="0"/>
    <m/>
  </r>
  <r>
    <s v="1.4.5.3"/>
    <s v="Alvenaria Estrutural"/>
    <m/>
    <s v="TIPO"/>
    <s v="5.00 dias"/>
    <s v="Alvenaria EstruturalPAV3"/>
    <d v="2022-02-01T00:00:00"/>
    <d v="2022-02-07T00:00:00"/>
    <n v="1"/>
    <d v="2022-02-08T00:00:00"/>
    <d v="2022-02-14T00:00:00"/>
    <s v="executado"/>
    <s v="executado"/>
    <n v="390.7"/>
    <s v="m²"/>
    <n v="247.89395397660905"/>
    <n v="96852.167818661153"/>
    <n v="11"/>
    <n v="12"/>
    <n v="0.13858702989570013"/>
    <n v="0.86141297010429985"/>
    <n v="13422.45427694816"/>
    <n v="83429.71354171299"/>
    <d v="2022-01-17T00:00:00"/>
    <d v="2022-02-22T00:00:00"/>
    <s v="PAV3"/>
    <s v="ALV_PAV3"/>
    <s v="ALV"/>
    <s v="Construct"/>
    <n v="1"/>
    <n v="96852.167818661153"/>
    <x v="14"/>
    <n v="96852.167818661153"/>
    <s v="EXE"/>
    <x v="1"/>
    <n v="0"/>
  </r>
  <r>
    <s v="1.4.5.4"/>
    <s v="Estrutura Moldado in Loco"/>
    <s v="GERAL"/>
    <s v="TIPO"/>
    <s v="5.00 dias"/>
    <s v="Estrutura Moldado in LocoPAV3"/>
    <d v="2022-02-08T00:00:00"/>
    <d v="2022-02-14T00:00:00"/>
    <n v="1"/>
    <d v="2022-02-15T00:00:00"/>
    <d v="2022-03-01T00:00:00"/>
    <s v="executado"/>
    <s v="executado"/>
    <n v="25.44"/>
    <s v="m³"/>
    <n v="2550.8020330415566"/>
    <n v="64892.403720577204"/>
    <n v="12"/>
    <n v="13"/>
    <n v="0.38396280966583479"/>
    <n v="0.61603719033416515"/>
    <n v="24916.269658522495"/>
    <n v="39976.134062054705"/>
    <d v="2022-01-24T00:00:00"/>
    <d v="2022-03-01T00:00:00"/>
    <s v="PAV3"/>
    <s v="ESTINLOCO_PAV3"/>
    <s v="ESTINLOCO"/>
    <s v="Construct"/>
    <n v="1"/>
    <n v="64892.403720577204"/>
    <x v="8"/>
    <n v="64892.403720577204"/>
    <s v="EXE"/>
    <x v="1"/>
    <n v="0"/>
  </r>
  <r>
    <s v="1.4.5.5"/>
    <s v="Instalações Hidrossanitárias"/>
    <m/>
    <s v="TIPO"/>
    <s v="5.00 dias"/>
    <s v="Instalações HidrossanitáriasPAV3"/>
    <d v="2022-03-01T00:00:00"/>
    <d v="2022-03-07T00:00:00"/>
    <n v="1"/>
    <d v="2022-03-12T00:00:00"/>
    <d v="2022-03-16T00:00:00"/>
    <s v="executado"/>
    <s v="executado"/>
    <n v="1"/>
    <s v="pvto"/>
    <n v="13455.889210118192"/>
    <n v="13455.889210118192"/>
    <n v="15"/>
    <n v="16"/>
    <n v="0.35672482024413354"/>
    <n v="0.64327517975586646"/>
    <n v="4800.0496597043884"/>
    <n v="8655.8395504138043"/>
    <d v="2022-02-14T00:00:00"/>
    <d v="2022-03-22T00:00:00"/>
    <s v="PAV3"/>
    <s v="HIDRO_PAV3"/>
    <s v="HIDRO"/>
    <s v="Construct"/>
    <n v="1"/>
    <n v="13455.889210118192"/>
    <x v="13"/>
    <n v="13455.889210118192"/>
    <s v="EXE"/>
    <x v="1"/>
    <n v="0"/>
  </r>
  <r>
    <s v="1.4.5.6"/>
    <s v="Reboco Interno"/>
    <m/>
    <s v="TIPO"/>
    <s v="5.00 dias"/>
    <s v="Reboco InternoPAV3"/>
    <d v="2022-03-15T00:00:00"/>
    <d v="2022-03-21T00:00:00"/>
    <m/>
    <m/>
    <m/>
    <d v="2022-03-21T00:00:00"/>
    <d v="2022-03-25T00:00:00"/>
    <n v="140.59"/>
    <s v="m²"/>
    <n v="7"/>
    <n v="984.13"/>
    <n v="17"/>
    <n v="18"/>
    <n v="0.26486813778256191"/>
    <n v="0.73513186221743809"/>
    <n v="260.66468043595268"/>
    <n v="723.46531956404738"/>
    <d v="2022-02-28T00:00:00"/>
    <d v="2022-04-05T00:00:00"/>
    <s v="PAV3"/>
    <s v="REBINT_PAV3"/>
    <s v="REBINT"/>
    <s v="Construct"/>
    <n v="1"/>
    <n v="984.13"/>
    <x v="10"/>
    <n v="0"/>
    <n v="18"/>
    <x v="23"/>
    <n v="984.13"/>
  </r>
  <r>
    <s v="1.4.5.7"/>
    <s v="Shaft "/>
    <m/>
    <s v="TIPO"/>
    <s v="2.50 dias"/>
    <s v="Shaft PAV3"/>
    <d v="2022-04-05T00:00:00"/>
    <d v="2022-04-07T00:00:00"/>
    <m/>
    <m/>
    <m/>
    <d v="2022-04-11T00:00:00"/>
    <d v="2022-04-13T00:00:00"/>
    <n v="10.69"/>
    <s v="m²"/>
    <n v="295.46807160325829"/>
    <n v="3158.5536854388311"/>
    <n v="20"/>
    <n v="20"/>
    <n v="0.62478082992402106"/>
    <n v="0.37521917007597894"/>
    <n v="1973.4037929480482"/>
    <n v="1185.1498924907828"/>
    <d v="2022-03-21T00:00:00"/>
    <d v="2022-04-22T00:00:00"/>
    <s v="PAV3"/>
    <s v="SHAFT_PAV3"/>
    <s v="SHAFT"/>
    <s v="Construct"/>
    <m/>
    <n v="0"/>
    <x v="10"/>
    <n v="0"/>
    <n v="21"/>
    <x v="3"/>
    <n v="3158.5536854388311"/>
  </r>
  <r>
    <s v="1.4.5.8"/>
    <s v="Impermeabilização"/>
    <m/>
    <s v="TIPO"/>
    <s v="5.00 dias"/>
    <s v="ImpermeabilizaçãoPAV3"/>
    <d v="2022-04-14T00:00:00"/>
    <d v="2022-04-21T00:00:00"/>
    <m/>
    <m/>
    <m/>
    <d v="2022-04-20T00:00:00"/>
    <d v="2022-04-27T00:00:00"/>
    <n v="6.08"/>
    <s v="m²"/>
    <n v="39.299999999999997"/>
    <n v="238.94399999999999"/>
    <n v="21"/>
    <n v="22"/>
    <n v="0.45815899581589958"/>
    <n v="0.54184100418410042"/>
    <n v="109.47434309623431"/>
    <n v="129.4696569037657"/>
    <d v="2022-03-30T00:00:00"/>
    <d v="2022-05-06T00:00:00"/>
    <s v="PAV3"/>
    <s v="IMP_PAV3"/>
    <s v="IMP"/>
    <s v="Construct"/>
    <m/>
    <n v="0"/>
    <x v="10"/>
    <n v="0"/>
    <n v="22"/>
    <x v="4"/>
    <n v="238.94399999999999"/>
  </r>
  <r>
    <s v="1.4.5.9"/>
    <s v="Cerâmica"/>
    <m/>
    <s v="TIPO"/>
    <s v="5.00 dias"/>
    <s v="CerâmicaPAV3"/>
    <d v="2022-04-28T00:00:00"/>
    <d v="2022-05-05T00:00:00"/>
    <m/>
    <m/>
    <m/>
    <d v="2022-05-04T00:00:00"/>
    <d v="2022-05-11T00:00:00"/>
    <n v="86.26"/>
    <s v="m²"/>
    <n v="236.90944856477213"/>
    <n v="20435.809033197245"/>
    <n v="23"/>
    <n v="24"/>
    <n v="0.57761004134961225"/>
    <n v="0.42238995865038781"/>
    <n v="11803.928500677841"/>
    <n v="8631.8805325194062"/>
    <d v="2022-04-13T00:00:00"/>
    <d v="2022-05-20T00:00:00"/>
    <s v="PAV3"/>
    <s v="CERAM_PAV3"/>
    <s v="CERAM"/>
    <s v="Construct"/>
    <m/>
    <n v="0"/>
    <x v="10"/>
    <n v="0"/>
    <n v="24"/>
    <x v="5"/>
    <n v="20435.809033197245"/>
  </r>
  <r>
    <s v="1.4.5.10"/>
    <s v="Gesso Liso"/>
    <m/>
    <s v="TIPO"/>
    <s v="5.00 dias"/>
    <s v="Gesso LisoPAV3"/>
    <d v="2022-05-12T00:00:00"/>
    <d v="2022-05-19T00:00:00"/>
    <m/>
    <m/>
    <m/>
    <d v="2022-05-18T00:00:00"/>
    <d v="2022-05-25T00:00:00"/>
    <n v="447.45"/>
    <s v="m²"/>
    <n v="15.222400000000006"/>
    <n v="6811.262880000002"/>
    <n v="25"/>
    <n v="26"/>
    <n v="0.45986419526518629"/>
    <n v="0.54013580473481371"/>
    <n v="3132.2559230508359"/>
    <n v="3679.0069569491661"/>
    <d v="2022-04-27T00:00:00"/>
    <d v="2022-06-03T00:00:00"/>
    <s v="PAV3"/>
    <s v="GEPINT_PAV3"/>
    <s v="GESSO"/>
    <s v="Construct"/>
    <m/>
    <n v="0"/>
    <x v="10"/>
    <n v="0"/>
    <n v="26"/>
    <x v="24"/>
    <n v="6811.262880000002"/>
  </r>
  <r>
    <s v="1.4.5.11"/>
    <s v="Esquadria "/>
    <m/>
    <s v="TIPO"/>
    <s v="5.00 dias"/>
    <s v="Esquadria PAV3"/>
    <d v="2022-06-02T00:00:00"/>
    <d v="2022-06-09T00:00:00"/>
    <m/>
    <m/>
    <m/>
    <d v="2022-06-08T00:00:00"/>
    <d v="2022-06-15T00:00:00"/>
    <n v="21"/>
    <s v="und"/>
    <n v="1261.9047619047619"/>
    <n v="26500"/>
    <n v="28"/>
    <n v="29"/>
    <n v="0.19811320754716982"/>
    <n v="0.80188679245283023"/>
    <n v="5250"/>
    <n v="21250"/>
    <d v="2022-05-18T00:00:00"/>
    <d v="2022-06-24T00:00:00"/>
    <s v="PAV3"/>
    <s v="ESQ_PAV3"/>
    <s v="ESQ"/>
    <s v="Construct"/>
    <m/>
    <n v="0"/>
    <x v="10"/>
    <n v="0"/>
    <n v="29"/>
    <x v="20"/>
    <n v="26500"/>
  </r>
  <r>
    <s v="1.4.5.12"/>
    <s v="Fiação"/>
    <m/>
    <s v="TIPO"/>
    <s v="5.00 dias"/>
    <s v="FiaçãoPAV3"/>
    <d v="2022-06-09T00:00:00"/>
    <d v="2022-06-16T00:00:00"/>
    <m/>
    <m/>
    <m/>
    <d v="2022-06-15T00:00:00"/>
    <d v="2022-06-22T00:00:00"/>
    <n v="4"/>
    <s v="apto"/>
    <n v="1283.6297966501836"/>
    <n v="5134.5191866007344"/>
    <n v="29"/>
    <n v="30"/>
    <n v="0.62323497906319991"/>
    <n v="0.37676502093680009"/>
    <n v="3200.011957760707"/>
    <n v="1934.5072288400274"/>
    <d v="2022-05-25T00:00:00"/>
    <d v="2022-07-01T00:00:00"/>
    <s v="PAV3"/>
    <s v="GEPINT_PAV3"/>
    <s v="FIA"/>
    <s v="Construct"/>
    <m/>
    <n v="0"/>
    <x v="10"/>
    <n v="0"/>
    <n v="30"/>
    <x v="8"/>
    <n v="5134.5191866007344"/>
  </r>
  <r>
    <s v="1.4.5.13"/>
    <s v="Forro"/>
    <m/>
    <s v="TIPO"/>
    <s v="5.00 dias"/>
    <s v="ForroPAV3"/>
    <d v="2022-06-23T00:00:00"/>
    <d v="2022-06-30T00:00:00"/>
    <m/>
    <m/>
    <m/>
    <d v="2022-06-29T00:00:00"/>
    <d v="2022-07-06T00:00:00"/>
    <n v="29.29"/>
    <s v="m²"/>
    <n v="78.445334999999986"/>
    <n v="2297.6638621499997"/>
    <n v="31"/>
    <n v="32"/>
    <n v="0.31868131868131866"/>
    <n v="0.68131868131868134"/>
    <n v="732.2225494763735"/>
    <n v="1565.4413126736263"/>
    <d v="2022-06-08T00:00:00"/>
    <d v="2022-07-15T00:00:00"/>
    <s v="PAV3"/>
    <s v="FOR_PAV3"/>
    <s v="FOR"/>
    <s v="Construct"/>
    <m/>
    <n v="0"/>
    <x v="10"/>
    <n v="0"/>
    <n v="32"/>
    <x v="10"/>
    <n v="2297.6638621499997"/>
  </r>
  <r>
    <s v="1.4.5.14"/>
    <s v="Disjuntores e CD"/>
    <m/>
    <s v="TIPO"/>
    <s v="2.50 dias"/>
    <s v="Disjuntores e CDPAV3"/>
    <d v="2022-06-30T00:00:00"/>
    <d v="2022-07-04T00:00:00"/>
    <m/>
    <m/>
    <m/>
    <d v="2022-07-06T00:00:00"/>
    <d v="2022-07-08T00:00:00"/>
    <n v="4"/>
    <s v="apto"/>
    <n v="350"/>
    <n v="1400"/>
    <n v="32"/>
    <n v="33"/>
    <n v="1"/>
    <n v="0"/>
    <n v="1400"/>
    <n v="0"/>
    <d v="2022-06-15T00:00:00"/>
    <d v="2022-07-19T00:00:00"/>
    <s v="PAV3"/>
    <s v="REVCIRC_PAV3"/>
    <s v="REVCIRC"/>
    <s v="Construct"/>
    <m/>
    <n v="0"/>
    <x v="10"/>
    <n v="0"/>
    <n v="33"/>
    <x v="10"/>
    <n v="1400"/>
  </r>
  <r>
    <s v="1.4.5.17"/>
    <s v="Rev. da Circulação"/>
    <s v="GERAL"/>
    <s v="TIPO"/>
    <s v="5.00 dias"/>
    <s v="Rev. da CirculaçãoPAV3"/>
    <d v="2022-06-30T00:00:00"/>
    <d v="2022-07-07T00:00:00"/>
    <m/>
    <m/>
    <m/>
    <d v="2022-07-06T00:00:00"/>
    <d v="2022-07-13T00:00:00"/>
    <n v="22.5"/>
    <s v="m²"/>
    <n v="160.77478755454416"/>
    <n v="3617.4327199772438"/>
    <n v="32"/>
    <n v="33"/>
    <n v="0.28742225293711127"/>
    <n v="0.71257774706288879"/>
    <n v="1039.7306622242818"/>
    <n v="2577.7020577529624"/>
    <d v="2022-06-15T00:00:00"/>
    <d v="2022-07-22T00:00:00"/>
    <s v="PAV3"/>
    <s v="DISJ_PAV3"/>
    <s v="DISJ"/>
    <s v="Construct"/>
    <m/>
    <n v="0"/>
    <x v="10"/>
    <n v="0"/>
    <n v="33"/>
    <x v="11"/>
    <n v="3617.4327199772438"/>
  </r>
  <r>
    <s v="1.4.5.16"/>
    <s v="Pintura Interna - 1ªdmão"/>
    <m/>
    <s v="TIPO"/>
    <s v="5.00 dias"/>
    <s v="Pintura Interna - 1ªdmãoPAV3"/>
    <d v="2022-07-07T00:00:00"/>
    <d v="2022-07-14T00:00:00"/>
    <m/>
    <m/>
    <m/>
    <d v="2022-07-13T00:00:00"/>
    <d v="2022-07-20T00:00:00"/>
    <n v="476.74"/>
    <s v="m²"/>
    <n v="31.043507801912533"/>
    <n v="14799.681909483781"/>
    <n v="33"/>
    <n v="34"/>
    <n v="0.52623399439170238"/>
    <n v="0.47376600560829757"/>
    <n v="7788.0957269542669"/>
    <n v="7011.5861825295133"/>
    <d v="2022-06-22T00:00:00"/>
    <d v="2022-07-29T00:00:00"/>
    <s v="PAV3"/>
    <s v="GEPINT_PAV3"/>
    <s v="PINT"/>
    <s v="Construct"/>
    <m/>
    <n v="0"/>
    <x v="10"/>
    <n v="0"/>
    <n v="34"/>
    <x v="12"/>
    <n v="14799.681909483781"/>
  </r>
  <r>
    <s v="1.4.5.18"/>
    <s v="Louças"/>
    <s v="GERAL"/>
    <s v="TIPO"/>
    <s v="2.50 dias"/>
    <s v="LouçasPAV3"/>
    <d v="2022-07-19T00:00:00"/>
    <d v="2022-07-21T00:00:00"/>
    <m/>
    <m/>
    <m/>
    <d v="2022-07-20T00:00:00"/>
    <d v="2022-07-22T00:00:00"/>
    <n v="16"/>
    <s v="und"/>
    <n v="327.25146699999999"/>
    <n v="5236.0234719999999"/>
    <n v="35"/>
    <n v="35"/>
    <n v="0.15279568352194051"/>
    <n v="0.84720431647805949"/>
    <n v="800.04178534116409"/>
    <n v="4435.9816866588353"/>
    <d v="2022-07-04T00:00:00"/>
    <d v="2022-08-05T00:00:00"/>
    <s v="PAV3"/>
    <s v="LOU_PAV3"/>
    <s v="LOU"/>
    <s v="Construct"/>
    <m/>
    <n v="0"/>
    <x v="10"/>
    <n v="0"/>
    <n v="35"/>
    <x v="12"/>
    <n v="5236.0234719999999"/>
  </r>
  <r>
    <s v="1.4.5.19"/>
    <s v="Portas de Madeira"/>
    <s v="GERAL"/>
    <s v="TIPO"/>
    <s v="2.50 dias"/>
    <s v="Portas de MadeiraPAV3"/>
    <d v="2022-07-21T00:00:00"/>
    <d v="2022-07-25T00:00:00"/>
    <m/>
    <m/>
    <m/>
    <d v="2022-07-25T00:00:00"/>
    <d v="2022-07-27T00:00:00"/>
    <n v="20"/>
    <s v="und"/>
    <n v="520"/>
    <n v="10400"/>
    <n v="35"/>
    <n v="36"/>
    <n v="0.15384615384615385"/>
    <n v="0.84615384615384615"/>
    <n v="1600"/>
    <n v="8800"/>
    <d v="2022-07-06T00:00:00"/>
    <d v="2022-08-09T00:00:00"/>
    <s v="PAV3"/>
    <s v="PM_PAV3"/>
    <s v="PM"/>
    <s v="Construct"/>
    <m/>
    <n v="0"/>
    <x v="10"/>
    <n v="0"/>
    <n v="36"/>
    <x v="13"/>
    <n v="10400"/>
  </r>
  <r>
    <s v="1.4.5.15"/>
    <s v="Piso Laminado + Rodapé"/>
    <m/>
    <s v="TIPO"/>
    <s v="5.00 dias"/>
    <s v="Piso Laminado + RodapéPAV3"/>
    <d v="2022-08-02T00:00:00"/>
    <d v="2022-08-08T00:00:00"/>
    <m/>
    <m/>
    <m/>
    <d v="2022-08-02T00:00:00"/>
    <d v="2022-08-08T00:00:00"/>
    <n v="80.88"/>
    <s v="m²"/>
    <n v="162.85785630043145"/>
    <n v="13171.943417578896"/>
    <n v="37"/>
    <n v="38"/>
    <n v="0.15351618107620765"/>
    <n v="0.84648381892379232"/>
    <n v="2022.1064508186032"/>
    <n v="11149.836966760293"/>
    <d v="2022-07-18T00:00:00"/>
    <d v="2022-08-23T00:00:00"/>
    <s v="PAV3"/>
    <s v="LAM_PAV3"/>
    <s v="LAM"/>
    <s v="Construct"/>
    <m/>
    <n v="0"/>
    <x v="10"/>
    <n v="0"/>
    <n v="37"/>
    <x v="14"/>
    <n v="13171.943417578896"/>
  </r>
  <r>
    <s v="1.4.5.20"/>
    <s v="Metais"/>
    <m/>
    <s v="TIPO"/>
    <s v="2.50 dias"/>
    <s v="MetaisPAV3"/>
    <d v="2022-08-11T00:00:00"/>
    <d v="2022-08-15T00:00:00"/>
    <m/>
    <m/>
    <m/>
    <d v="2022-08-11T00:00:00"/>
    <d v="2022-08-15T00:00:00"/>
    <n v="12"/>
    <s v="und"/>
    <n v="111.67"/>
    <n v="1340.04"/>
    <n v="38"/>
    <n v="39"/>
    <n v="0.44776119402985076"/>
    <n v="0.55223880597014929"/>
    <n v="600.01791044776121"/>
    <n v="740.02208955223887"/>
    <d v="2022-07-27T00:00:00"/>
    <d v="2022-08-30T00:00:00"/>
    <s v="PAV3"/>
    <s v="METAIS_PAV3"/>
    <s v="METAIS"/>
    <s v="Construct"/>
    <m/>
    <n v="0"/>
    <x v="10"/>
    <n v="0"/>
    <n v="38"/>
    <x v="15"/>
    <n v="1340.04"/>
  </r>
  <r>
    <s v="1.4.5.21"/>
    <s v="Acabamentos Elétricos"/>
    <m/>
    <s v="TIPO"/>
    <s v="2.50 dias"/>
    <s v="Acabamentos ElétricosPAV3"/>
    <d v="2022-08-11T00:00:00"/>
    <d v="2022-08-15T00:00:00"/>
    <m/>
    <m/>
    <m/>
    <d v="2022-08-11T00:00:00"/>
    <d v="2022-08-15T00:00:00"/>
    <n v="4"/>
    <s v="apto"/>
    <n v="513.50426281564182"/>
    <n v="2054.0170512625673"/>
    <n v="38"/>
    <n v="39"/>
    <n v="0.45"/>
    <n v="0.55000000000000004"/>
    <n v="924.30767306815528"/>
    <n v="1129.709378194412"/>
    <d v="2022-07-27T00:00:00"/>
    <d v="2022-08-30T00:00:00"/>
    <s v="PAV3"/>
    <s v="GEPINT_PAV3"/>
    <s v="ACAB"/>
    <s v="Construct"/>
    <m/>
    <n v="0"/>
    <x v="10"/>
    <n v="0"/>
    <n v="38"/>
    <x v="15"/>
    <n v="2054.0170512625673"/>
  </r>
  <r>
    <s v="1.4.5.22"/>
    <s v="Pintura Final"/>
    <m/>
    <s v="TIPO"/>
    <s v="5.00 dias"/>
    <s v="Pintura FinalPAV3"/>
    <d v="2022-08-23T00:00:00"/>
    <d v="2022-08-29T00:00:00"/>
    <m/>
    <m/>
    <m/>
    <d v="2022-08-23T00:00:00"/>
    <d v="2022-08-29T00:00:00"/>
    <n v="614.55999999999995"/>
    <s v="m²"/>
    <n v="6"/>
    <n v="3687.3599999999997"/>
    <n v="40"/>
    <n v="41"/>
    <n v="1"/>
    <n v="0"/>
    <n v="3687.3599999999997"/>
    <n v="0"/>
    <d v="2022-08-08T00:00:00"/>
    <d v="2022-09-13T00:00:00"/>
    <s v="PAV3"/>
    <s v="GEPINT_PAV3"/>
    <s v="PINTF"/>
    <s v="Construct"/>
    <m/>
    <n v="0"/>
    <x v="10"/>
    <n v="0"/>
    <n v="40"/>
    <x v="16"/>
    <n v="3687.3599999999997"/>
  </r>
  <r>
    <s v="1.4.5.23"/>
    <s v="Complementação e Limpeza"/>
    <m/>
    <s v="TIPO"/>
    <s v="2.50 dias"/>
    <s v="Complementação e LimpezaPAV3"/>
    <d v="2022-08-30T00:00:00"/>
    <d v="2022-09-01T00:00:00"/>
    <m/>
    <m/>
    <m/>
    <d v="2022-09-01T00:00:00"/>
    <d v="2022-09-05T00:00:00"/>
    <n v="0.25"/>
    <s v="torre"/>
    <n v="2000"/>
    <n v="500"/>
    <n v="41"/>
    <n v="41"/>
    <n v="1"/>
    <n v="0"/>
    <n v="500"/>
    <n v="0"/>
    <d v="2022-08-15T00:00:00"/>
    <d v="2022-09-16T00:00:00"/>
    <s v="PAV3"/>
    <s v="GEPINT_PAV3"/>
    <s v="COMPL"/>
    <s v="Construct"/>
    <m/>
    <n v="0"/>
    <x v="10"/>
    <n v="0"/>
    <n v="41"/>
    <x v="25"/>
    <n v="500"/>
  </r>
  <r>
    <s v="1.5"/>
    <s v="PAV4"/>
    <m/>
    <m/>
    <s v="147.50 dias"/>
    <s v="PAV4"/>
    <d v="2022-02-15T00:00:00"/>
    <d v="2022-09-09T00:00:00"/>
    <m/>
    <m/>
    <m/>
    <m/>
    <m/>
    <s v=" "/>
    <m/>
    <m/>
    <m/>
    <n v="13"/>
    <n v="42"/>
    <m/>
    <m/>
    <n v="0"/>
    <n v="0"/>
    <d v="2022-01-31T00:00:00"/>
    <d v="2022-09-24T00:00:00"/>
    <m/>
    <s v=" "/>
    <m/>
    <m/>
    <m/>
    <m/>
    <x v="0"/>
    <m/>
    <m/>
    <x v="0"/>
    <m/>
  </r>
  <r>
    <s v="1.5.5.3"/>
    <s v="Alvenaria Estrutural"/>
    <m/>
    <s v="TIPO"/>
    <s v="5.00 dias"/>
    <s v="Alvenaria EstruturalPAV4"/>
    <d v="2022-02-15T00:00:00"/>
    <d v="2022-02-21T00:00:00"/>
    <n v="1"/>
    <d v="2022-03-01T00:00:00"/>
    <d v="2022-03-07T00:00:00"/>
    <s v="executado"/>
    <s v="executado"/>
    <n v="390.7"/>
    <s v="m²"/>
    <n v="247.89395397660905"/>
    <n v="96852.167818661153"/>
    <n v="13"/>
    <n v="14"/>
    <n v="0.13858702989570013"/>
    <n v="0.86141297010429985"/>
    <n v="13422.45427694816"/>
    <n v="83429.71354171299"/>
    <d v="2022-01-31T00:00:00"/>
    <d v="2022-03-08T00:00:00"/>
    <s v="PAV4"/>
    <s v="ALV_PAV4"/>
    <s v="ALV"/>
    <s v="Construct"/>
    <n v="1"/>
    <n v="96852.167818661153"/>
    <x v="9"/>
    <n v="96852.167818661153"/>
    <s v="EXE"/>
    <x v="1"/>
    <n v="0"/>
  </r>
  <r>
    <s v="1.5.5.4"/>
    <s v="Estrutura Moldado in Loco"/>
    <s v="GERAL"/>
    <s v="TIPO"/>
    <s v="5.00 dias"/>
    <s v="Estrutura Moldado in LocoPAV4"/>
    <d v="2022-02-22T00:00:00"/>
    <d v="2022-02-28T00:00:00"/>
    <n v="1"/>
    <d v="2022-03-08T00:00:00"/>
    <d v="2022-03-12T00:00:00"/>
    <s v="executado"/>
    <s v="executado"/>
    <n v="26.73"/>
    <s v="m³"/>
    <n v="2550.8020330415566"/>
    <n v="68182.938343200804"/>
    <n v="14"/>
    <n v="15"/>
    <n v="0.38396280966583479"/>
    <n v="0.61603719033416515"/>
    <n v="26179.71257752776"/>
    <n v="42003.225765673043"/>
    <d v="2022-02-07T00:00:00"/>
    <d v="2022-03-15T00:00:00"/>
    <s v="PAV4"/>
    <s v="ESTINLOCO_PAV4"/>
    <s v="ESTINLOCO"/>
    <s v="Construct"/>
    <n v="1"/>
    <n v="68182.938343200804"/>
    <x v="9"/>
    <n v="68182.938343200804"/>
    <s v="EXE"/>
    <x v="1"/>
    <n v="0"/>
  </r>
  <r>
    <s v="1.5.5.5"/>
    <s v="Instalações Hidrossanitárias"/>
    <m/>
    <s v="TIPO"/>
    <s v="5.00 dias"/>
    <s v="Instalações HidrossanitáriasPAV4"/>
    <d v="2022-03-08T00:00:00"/>
    <d v="2022-03-14T00:00:00"/>
    <n v="1"/>
    <m/>
    <m/>
    <d v="2022-03-15T00:00:00"/>
    <d v="2022-03-21T00:00:00"/>
    <n v="1"/>
    <s v="pvto"/>
    <n v="13455.889210118192"/>
    <n v="13455.889210118192"/>
    <n v="16"/>
    <n v="17"/>
    <n v="0.35672482024413354"/>
    <n v="0.64327517975586646"/>
    <n v="4800.0496597043884"/>
    <n v="8655.8395504138043"/>
    <d v="2022-02-21T00:00:00"/>
    <d v="2022-03-29T00:00:00"/>
    <s v="PAV4"/>
    <s v="HIDRO_PAV4"/>
    <s v="HIDRO"/>
    <s v="Construct"/>
    <n v="1"/>
    <n v="13455.889210118192"/>
    <x v="10"/>
    <n v="13455.889210118192"/>
    <n v="17"/>
    <x v="23"/>
    <n v="13455.889210118192"/>
  </r>
  <r>
    <s v="1.5.5.6"/>
    <s v="Reboco Interno"/>
    <m/>
    <s v="TIPO"/>
    <s v="5.00 dias"/>
    <s v="Reboco InternoPAV4"/>
    <d v="2022-03-22T00:00:00"/>
    <d v="2022-03-28T00:00:00"/>
    <m/>
    <m/>
    <m/>
    <d v="2022-03-28T00:00:00"/>
    <d v="2022-04-01T00:00:00"/>
    <n v="140.59"/>
    <s v="m²"/>
    <n v="7"/>
    <n v="984.13"/>
    <n v="18"/>
    <n v="19"/>
    <n v="0.26486813778256191"/>
    <n v="0.73513186221743809"/>
    <n v="260.66468043595268"/>
    <n v="723.46531956404738"/>
    <d v="2022-03-07T00:00:00"/>
    <d v="2022-04-12T00:00:00"/>
    <s v="PAV4"/>
    <s v="REBINT_PAV4"/>
    <s v="REBINT"/>
    <s v="Construct"/>
    <m/>
    <n v="0"/>
    <x v="10"/>
    <n v="0"/>
    <n v="19"/>
    <x v="26"/>
    <n v="984.13"/>
  </r>
  <r>
    <s v="1.5.5.7"/>
    <s v="Shaft "/>
    <m/>
    <s v="TIPO"/>
    <s v="2.50 dias"/>
    <s v="Shaft PAV4"/>
    <d v="2022-04-07T00:00:00"/>
    <d v="2022-04-11T00:00:00"/>
    <m/>
    <m/>
    <m/>
    <d v="2022-04-13T00:00:00"/>
    <d v="2022-04-15T00:00:00"/>
    <n v="10.69"/>
    <s v="m²"/>
    <n v="295.46807160325829"/>
    <n v="3158.5536854388311"/>
    <n v="20"/>
    <n v="21"/>
    <n v="0.62478082992402106"/>
    <n v="0.37521917007597894"/>
    <n v="1973.4037929480482"/>
    <n v="1185.1498924907828"/>
    <d v="2022-03-23T00:00:00"/>
    <d v="2022-04-26T00:00:00"/>
    <s v="PAV4"/>
    <s v="SHAFT_PAV4"/>
    <s v="SHAFT"/>
    <s v="Construct"/>
    <m/>
    <n v="0"/>
    <x v="10"/>
    <n v="0"/>
    <n v="21"/>
    <x v="3"/>
    <n v="3158.5536854388311"/>
  </r>
  <r>
    <s v="1.5.5.8"/>
    <s v="Impermeabilização"/>
    <m/>
    <s v="TIPO"/>
    <s v="5.00 dias"/>
    <s v="ImpermeabilizaçãoPAV4"/>
    <d v="2022-04-21T00:00:00"/>
    <d v="2022-04-28T00:00:00"/>
    <m/>
    <m/>
    <m/>
    <d v="2022-04-27T00:00:00"/>
    <d v="2022-05-04T00:00:00"/>
    <n v="6.08"/>
    <s v="m²"/>
    <n v="39.299999999999997"/>
    <n v="238.94399999999999"/>
    <n v="22"/>
    <n v="23"/>
    <n v="0.45815899581589958"/>
    <n v="0.54184100418410042"/>
    <n v="109.47434309623431"/>
    <n v="129.4696569037657"/>
    <d v="2022-04-06T00:00:00"/>
    <d v="2022-05-13T00:00:00"/>
    <s v="PAV4"/>
    <s v="IMP_PAV4"/>
    <s v="IMP"/>
    <s v="Construct"/>
    <m/>
    <n v="0"/>
    <x v="10"/>
    <n v="0"/>
    <n v="23"/>
    <x v="18"/>
    <n v="238.94399999999999"/>
  </r>
  <r>
    <s v="1.5.5.9"/>
    <s v="Cerâmica"/>
    <m/>
    <s v="TIPO"/>
    <s v="5.00 dias"/>
    <s v="CerâmicaPAV4"/>
    <d v="2022-05-05T00:00:00"/>
    <d v="2022-05-12T00:00:00"/>
    <m/>
    <m/>
    <m/>
    <d v="2022-05-11T00:00:00"/>
    <d v="2022-05-18T00:00:00"/>
    <n v="86.26"/>
    <s v="m²"/>
    <n v="236.90944856477213"/>
    <n v="20435.809033197245"/>
    <n v="24"/>
    <n v="25"/>
    <n v="0.57761004134961225"/>
    <n v="0.42238995865038781"/>
    <n v="11803.928500677841"/>
    <n v="8631.8805325194062"/>
    <d v="2022-04-20T00:00:00"/>
    <d v="2022-05-27T00:00:00"/>
    <s v="PAV4"/>
    <s v="CERAM_PAV4"/>
    <s v="CERAM"/>
    <s v="Construct"/>
    <m/>
    <n v="0"/>
    <x v="10"/>
    <n v="0"/>
    <n v="25"/>
    <x v="19"/>
    <n v="20435.809033197245"/>
  </r>
  <r>
    <s v="1.5.5.10"/>
    <s v="Gesso Liso"/>
    <m/>
    <s v="TIPO"/>
    <s v="5.00 dias"/>
    <s v="Gesso LisoPAV4"/>
    <d v="2022-05-19T00:00:00"/>
    <d v="2022-05-26T00:00:00"/>
    <m/>
    <m/>
    <m/>
    <d v="2022-05-25T00:00:00"/>
    <d v="2022-06-01T00:00:00"/>
    <n v="447.45"/>
    <s v="m²"/>
    <n v="15.222400000000006"/>
    <n v="6811.262880000002"/>
    <n v="26"/>
    <n v="27"/>
    <n v="0.45986419526518629"/>
    <n v="0.54013580473481371"/>
    <n v="3132.2559230508359"/>
    <n v="3679.0069569491661"/>
    <d v="2022-05-04T00:00:00"/>
    <d v="2022-06-10T00:00:00"/>
    <s v="PAV4"/>
    <s v="GEPINT_PAV4"/>
    <s v="GESSO"/>
    <s v="Construct"/>
    <m/>
    <n v="0"/>
    <x v="10"/>
    <n v="0"/>
    <n v="27"/>
    <x v="6"/>
    <n v="6811.262880000002"/>
  </r>
  <r>
    <s v="1.5.5.11"/>
    <s v="Esquadria "/>
    <m/>
    <s v="TIPO"/>
    <s v="5.00 dias"/>
    <s v="Esquadria PAV4"/>
    <d v="2022-06-09T00:00:00"/>
    <d v="2022-06-16T00:00:00"/>
    <m/>
    <m/>
    <m/>
    <d v="2022-06-15T00:00:00"/>
    <d v="2022-06-22T00:00:00"/>
    <n v="21"/>
    <s v="und"/>
    <n v="1261.9047619047619"/>
    <n v="26500"/>
    <n v="29"/>
    <n v="30"/>
    <n v="0.19811320754716982"/>
    <n v="0.80188679245283023"/>
    <n v="5250"/>
    <n v="21250"/>
    <d v="2022-05-25T00:00:00"/>
    <d v="2022-07-01T00:00:00"/>
    <s v="PAV4"/>
    <s v="ESQ_PAV4"/>
    <s v="ESQ"/>
    <s v="Construct"/>
    <m/>
    <n v="0"/>
    <x v="10"/>
    <n v="0"/>
    <n v="30"/>
    <x v="8"/>
    <n v="26500"/>
  </r>
  <r>
    <s v="1.5.5.12"/>
    <s v="Fiação"/>
    <m/>
    <s v="TIPO"/>
    <s v="5.00 dias"/>
    <s v="FiaçãoPAV4"/>
    <d v="2022-06-16T00:00:00"/>
    <d v="2022-06-23T00:00:00"/>
    <m/>
    <m/>
    <m/>
    <d v="2022-06-22T00:00:00"/>
    <d v="2022-06-29T00:00:00"/>
    <n v="4"/>
    <s v="apto"/>
    <n v="1283.6297966501836"/>
    <n v="5134.5191866007344"/>
    <n v="30"/>
    <n v="31"/>
    <n v="0.62323497906319991"/>
    <n v="0.37676502093680009"/>
    <n v="3200.011957760707"/>
    <n v="1934.5072288400274"/>
    <d v="2022-06-01T00:00:00"/>
    <d v="2022-07-08T00:00:00"/>
    <s v="PAV4"/>
    <s v="GEPINT_PAV4"/>
    <s v="FIA"/>
    <s v="Construct"/>
    <m/>
    <n v="0"/>
    <x v="10"/>
    <n v="0"/>
    <n v="31"/>
    <x v="9"/>
    <n v="5134.5191866007344"/>
  </r>
  <r>
    <s v="1.5.5.13"/>
    <s v="Forro"/>
    <m/>
    <s v="TIPO"/>
    <s v="5.00 dias"/>
    <s v="ForroPAV4"/>
    <d v="2022-06-30T00:00:00"/>
    <d v="2022-07-07T00:00:00"/>
    <m/>
    <m/>
    <m/>
    <d v="2022-07-06T00:00:00"/>
    <d v="2022-07-13T00:00:00"/>
    <n v="29.29"/>
    <s v="m²"/>
    <n v="78.445334999999986"/>
    <n v="2297.6638621499997"/>
    <n v="32"/>
    <n v="33"/>
    <n v="0.31868131868131866"/>
    <n v="0.68131868131868134"/>
    <n v="732.2225494763735"/>
    <n v="1565.4413126736263"/>
    <d v="2022-06-15T00:00:00"/>
    <d v="2022-07-22T00:00:00"/>
    <s v="PAV4"/>
    <s v="FOR_PAV4"/>
    <s v="FOR"/>
    <s v="Construct"/>
    <m/>
    <n v="0"/>
    <x v="10"/>
    <n v="0"/>
    <n v="33"/>
    <x v="11"/>
    <n v="2297.6638621499997"/>
  </r>
  <r>
    <s v="1.5.5.14"/>
    <s v="Disjuntores e CD"/>
    <m/>
    <s v="TIPO"/>
    <s v="2.50 dias"/>
    <s v="Disjuntores e CDPAV4"/>
    <d v="2022-07-07T00:00:00"/>
    <d v="2022-07-11T00:00:00"/>
    <m/>
    <m/>
    <m/>
    <d v="2022-07-13T00:00:00"/>
    <d v="2022-07-15T00:00:00"/>
    <n v="4"/>
    <s v="apto"/>
    <n v="350"/>
    <n v="1400"/>
    <n v="33"/>
    <n v="34"/>
    <n v="1"/>
    <n v="0"/>
    <n v="1400"/>
    <n v="0"/>
    <d v="2022-06-22T00:00:00"/>
    <d v="2022-07-26T00:00:00"/>
    <s v="PAV4"/>
    <s v="REVCIRC_PAV4"/>
    <s v="REVCIRC"/>
    <s v="Construct"/>
    <m/>
    <n v="0"/>
    <x v="10"/>
    <n v="0"/>
    <n v="34"/>
    <x v="11"/>
    <n v="1400"/>
  </r>
  <r>
    <s v="1.5.5.17"/>
    <s v="Rev. da Circulação"/>
    <s v="GERAL"/>
    <s v="TIPO"/>
    <s v="5.00 dias"/>
    <s v="Rev. da CirculaçãoPAV4"/>
    <d v="2022-07-07T00:00:00"/>
    <d v="2022-07-14T00:00:00"/>
    <m/>
    <m/>
    <m/>
    <d v="2022-07-13T00:00:00"/>
    <d v="2022-07-20T00:00:00"/>
    <n v="22.5"/>
    <s v="m²"/>
    <n v="160.77478755454416"/>
    <n v="3617.4327199772438"/>
    <n v="33"/>
    <n v="34"/>
    <n v="0.28742225293711127"/>
    <n v="0.71257774706288879"/>
    <n v="1039.7306622242818"/>
    <n v="2577.7020577529624"/>
    <d v="2022-06-22T00:00:00"/>
    <d v="2022-07-29T00:00:00"/>
    <s v="PAV4"/>
    <s v="DISJ_PAV4"/>
    <s v="DISJ"/>
    <s v="Construct"/>
    <m/>
    <n v="0"/>
    <x v="10"/>
    <n v="0"/>
    <n v="34"/>
    <x v="12"/>
    <n v="3617.4327199772438"/>
  </r>
  <r>
    <s v="1.5.5.16"/>
    <s v="Pintura Interna - 1ªdmão"/>
    <m/>
    <s v="TIPO"/>
    <s v="5.00 dias"/>
    <s v="Pintura Interna - 1ªdmãoPAV4"/>
    <d v="2022-07-14T00:00:00"/>
    <d v="2022-07-21T00:00:00"/>
    <m/>
    <m/>
    <m/>
    <d v="2022-07-20T00:00:00"/>
    <d v="2022-07-27T00:00:00"/>
    <n v="476.74"/>
    <s v="m²"/>
    <n v="31.043507801912533"/>
    <n v="14799.681909483781"/>
    <n v="34"/>
    <n v="35"/>
    <n v="0.52623399439170238"/>
    <n v="0.47376600560829757"/>
    <n v="7788.0957269542669"/>
    <n v="7011.5861825295133"/>
    <d v="2022-06-29T00:00:00"/>
    <d v="2022-08-05T00:00:00"/>
    <s v="PAV4"/>
    <s v="GEPINT_PAV4"/>
    <s v="PINT"/>
    <s v="Construct"/>
    <m/>
    <n v="0"/>
    <x v="10"/>
    <n v="0"/>
    <n v="35"/>
    <x v="13"/>
    <n v="14799.681909483781"/>
  </r>
  <r>
    <s v="1.5.5.18"/>
    <s v="Louças"/>
    <s v="GERAL"/>
    <s v="TIPO"/>
    <s v="2.50 dias"/>
    <s v="LouçasPAV4"/>
    <d v="2022-07-21T00:00:00"/>
    <d v="2022-07-25T00:00:00"/>
    <m/>
    <m/>
    <m/>
    <d v="2022-07-27T00:00:00"/>
    <d v="2022-07-29T00:00:00"/>
    <n v="16"/>
    <s v="und"/>
    <n v="327.25146699999999"/>
    <n v="5236.0234719999999"/>
    <n v="35"/>
    <n v="36"/>
    <n v="0.15279568352194051"/>
    <n v="0.84720431647805949"/>
    <n v="800.04178534116409"/>
    <n v="4435.9816866588353"/>
    <d v="2022-07-06T00:00:00"/>
    <d v="2022-08-09T00:00:00"/>
    <s v="PAV4"/>
    <s v="LOU_PAV4"/>
    <s v="LOU"/>
    <s v="Construct"/>
    <m/>
    <n v="0"/>
    <x v="10"/>
    <n v="0"/>
    <n v="36"/>
    <x v="13"/>
    <n v="5236.0234719999999"/>
  </r>
  <r>
    <s v="1.5.5.19"/>
    <s v="Portas de Madeira"/>
    <s v="GERAL"/>
    <s v="TIPO"/>
    <s v="2.50 dias"/>
    <s v="Portas de MadeiraPAV4"/>
    <d v="2022-07-26T00:00:00"/>
    <d v="2022-07-28T00:00:00"/>
    <m/>
    <m/>
    <m/>
    <d v="2022-08-01T00:00:00"/>
    <d v="2022-08-03T00:00:00"/>
    <n v="20"/>
    <s v="und"/>
    <n v="520"/>
    <n v="10400"/>
    <n v="36"/>
    <n v="36"/>
    <n v="0.15384615384615385"/>
    <n v="0.84615384615384615"/>
    <n v="1600"/>
    <n v="8800"/>
    <d v="2022-07-11T00:00:00"/>
    <d v="2022-08-12T00:00:00"/>
    <s v="PAV4"/>
    <s v="PM_PAV4"/>
    <s v="PM"/>
    <s v="Construct"/>
    <m/>
    <n v="0"/>
    <x v="10"/>
    <n v="0"/>
    <n v="37"/>
    <x v="21"/>
    <n v="10400"/>
  </r>
  <r>
    <s v="1.5.5.15"/>
    <s v="Piso Laminado + Rodapé"/>
    <m/>
    <s v="TIPO"/>
    <s v="5.00 dias"/>
    <s v="Piso Laminado + RodapéPAV4"/>
    <d v="2022-08-09T00:00:00"/>
    <d v="2022-08-15T00:00:00"/>
    <m/>
    <m/>
    <m/>
    <d v="2022-08-09T00:00:00"/>
    <d v="2022-08-15T00:00:00"/>
    <n v="80.88"/>
    <s v="m²"/>
    <n v="162.85785630043145"/>
    <n v="13171.943417578896"/>
    <n v="38"/>
    <n v="39"/>
    <n v="0.15351618107620765"/>
    <n v="0.84648381892379232"/>
    <n v="2022.1064508186032"/>
    <n v="11149.836966760293"/>
    <d v="2022-07-25T00:00:00"/>
    <d v="2022-08-30T00:00:00"/>
    <s v="PAV4"/>
    <s v="LAM_PAV4"/>
    <s v="LAM"/>
    <s v="Construct"/>
    <m/>
    <n v="0"/>
    <x v="10"/>
    <n v="0"/>
    <n v="38"/>
    <x v="15"/>
    <n v="13171.943417578896"/>
  </r>
  <r>
    <s v="1.5.5.20"/>
    <s v="Metais"/>
    <m/>
    <s v="TIPO"/>
    <s v="2.50 dias"/>
    <s v="MetaisPAV4"/>
    <d v="2022-08-16T00:00:00"/>
    <d v="2022-08-18T00:00:00"/>
    <m/>
    <m/>
    <m/>
    <d v="2022-08-16T00:00:00"/>
    <d v="2022-08-18T00:00:00"/>
    <n v="12"/>
    <s v="und"/>
    <n v="111.67"/>
    <n v="1340.04"/>
    <n v="39"/>
    <n v="39"/>
    <n v="0.44776119402985076"/>
    <n v="0.55223880597014929"/>
    <n v="600.01791044776121"/>
    <n v="740.02208955223887"/>
    <d v="2022-08-01T00:00:00"/>
    <d v="2022-09-02T00:00:00"/>
    <s v="PAV4"/>
    <s v="METAIS_PAV4"/>
    <s v="METAIS"/>
    <s v="Construct"/>
    <m/>
    <n v="0"/>
    <x v="10"/>
    <n v="0"/>
    <n v="39"/>
    <x v="15"/>
    <n v="1340.04"/>
  </r>
  <r>
    <s v="1.5.5.21"/>
    <s v="Acabamentos Elétricos"/>
    <m/>
    <s v="TIPO"/>
    <s v="2.50 dias"/>
    <s v="Acabamentos ElétricosPAV4"/>
    <d v="2022-08-16T00:00:00"/>
    <d v="2022-08-18T00:00:00"/>
    <m/>
    <m/>
    <m/>
    <d v="2022-08-16T00:00:00"/>
    <d v="2022-08-18T00:00:00"/>
    <n v="4"/>
    <s v="apto"/>
    <n v="513.50426281564182"/>
    <n v="2054.0170512625673"/>
    <n v="39"/>
    <n v="39"/>
    <n v="0.45"/>
    <n v="0.55000000000000004"/>
    <n v="924.30767306815528"/>
    <n v="1129.709378194412"/>
    <d v="2022-08-01T00:00:00"/>
    <d v="2022-09-02T00:00:00"/>
    <s v="PAV4"/>
    <s v="GEPINT_PAV4"/>
    <s v="ACAB"/>
    <s v="Construct"/>
    <m/>
    <n v="0"/>
    <x v="10"/>
    <n v="0"/>
    <n v="39"/>
    <x v="15"/>
    <n v="2054.0170512625673"/>
  </r>
  <r>
    <s v="1.5.5.22"/>
    <s v="Pintura Final"/>
    <m/>
    <s v="TIPO"/>
    <s v="5.00 dias"/>
    <s v="Pintura FinalPAV4"/>
    <d v="2022-08-30T00:00:00"/>
    <d v="2022-09-05T00:00:00"/>
    <m/>
    <m/>
    <m/>
    <d v="2022-08-30T00:00:00"/>
    <d v="2022-09-05T00:00:00"/>
    <n v="614.55999999999995"/>
    <s v="m²"/>
    <n v="6"/>
    <n v="3687.3599999999997"/>
    <n v="41"/>
    <n v="42"/>
    <n v="1"/>
    <n v="0"/>
    <n v="3687.3599999999997"/>
    <n v="0"/>
    <d v="2022-08-15T00:00:00"/>
    <d v="2022-09-20T00:00:00"/>
    <s v="PAV4"/>
    <s v="GEPINT_PAV4"/>
    <s v="PINTF"/>
    <s v="Construct"/>
    <m/>
    <n v="0"/>
    <x v="10"/>
    <n v="0"/>
    <n v="41"/>
    <x v="25"/>
    <n v="3687.3599999999997"/>
  </r>
  <r>
    <s v="1.5.5.23"/>
    <s v="Complementação e Limpeza"/>
    <m/>
    <s v="TIPO"/>
    <s v="2.50 dias"/>
    <s v="Complementação e LimpezaPAV4"/>
    <d v="2022-09-06T00:00:00"/>
    <d v="2022-09-09T00:00:00"/>
    <m/>
    <m/>
    <m/>
    <d v="2022-09-06T00:00:00"/>
    <d v="2022-09-09T00:00:00"/>
    <n v="0.25"/>
    <s v="torre"/>
    <n v="2000"/>
    <n v="500"/>
    <n v="42"/>
    <n v="42"/>
    <n v="1"/>
    <n v="0"/>
    <n v="500"/>
    <n v="0"/>
    <d v="2022-08-22T00:00:00"/>
    <d v="2022-09-24T00:00:00"/>
    <s v="PAV4"/>
    <s v="GEPINT_PAV4"/>
    <s v="COMPL"/>
    <s v="Construct"/>
    <m/>
    <n v="0"/>
    <x v="10"/>
    <n v="0"/>
    <n v="42"/>
    <x v="25"/>
    <n v="500"/>
  </r>
  <r>
    <s v="1.6"/>
    <s v="COB"/>
    <m/>
    <m/>
    <s v="40.00 dias"/>
    <s v="COB"/>
    <d v="2022-03-01T00:00:00"/>
    <d v="2022-04-25T00:00:00"/>
    <m/>
    <m/>
    <m/>
    <m/>
    <m/>
    <s v=" "/>
    <m/>
    <m/>
    <m/>
    <n v="15"/>
    <n v="23"/>
    <m/>
    <m/>
    <n v="0"/>
    <n v="0"/>
    <d v="2022-02-14T00:00:00"/>
    <d v="2022-05-10T00:00:00"/>
    <m/>
    <s v=" "/>
    <m/>
    <m/>
    <m/>
    <m/>
    <x v="0"/>
    <m/>
    <m/>
    <x v="0"/>
    <m/>
  </r>
  <r>
    <s v="1.6.6.1"/>
    <s v="Alvenaria Estrutural"/>
    <m/>
    <s v="COBERTURA"/>
    <s v="5.00 dias"/>
    <s v="Alvenaria EstruturalCOB"/>
    <d v="2022-03-01T00:00:00"/>
    <d v="2022-03-07T00:00:00"/>
    <n v="1"/>
    <d v="2022-03-15T00:00:00"/>
    <d v="2022-03-19T00:00:00"/>
    <s v="executado"/>
    <s v="executado"/>
    <n v="81.7"/>
    <s v="m²"/>
    <n v="247.89395397660905"/>
    <n v="20252.936039888962"/>
    <n v="15"/>
    <n v="16"/>
    <n v="0.13858702989570013"/>
    <n v="0.86141297010429985"/>
    <n v="2806.7942524357941"/>
    <n v="17446.141787453169"/>
    <d v="2022-02-14T00:00:00"/>
    <d v="2022-03-22T00:00:00"/>
    <s v="COB"/>
    <s v="ALV_COB"/>
    <s v="ALV"/>
    <s v="Construct"/>
    <n v="1"/>
    <n v="20252.936039888962"/>
    <x v="13"/>
    <n v="20252.936039888962"/>
    <s v="EXE"/>
    <x v="1"/>
    <n v="0"/>
  </r>
  <r>
    <s v="1.6.6.2"/>
    <s v="Instalações Hidrossanitárias"/>
    <m/>
    <s v="COBERTURA"/>
    <s v="5.00 dias"/>
    <s v="Instalações HidrossanitáriasCOB"/>
    <d v="2022-03-15T00:00:00"/>
    <d v="2022-03-21T00:00:00"/>
    <m/>
    <m/>
    <m/>
    <d v="2022-03-21T00:00:00"/>
    <d v="2022-03-25T00:00:00"/>
    <m/>
    <m/>
    <n v="13455.889210118192"/>
    <n v="0"/>
    <n v="17"/>
    <n v="18"/>
    <n v="0.35672482024413354"/>
    <n v="0.64327517975586646"/>
    <n v="0"/>
    <n v="0"/>
    <d v="2022-02-28T00:00:00"/>
    <d v="2022-04-05T00:00:00"/>
    <s v="COB"/>
    <s v="HIDRO_COB"/>
    <s v="HIDRO"/>
    <s v="Construct"/>
    <n v="0.7"/>
    <n v="0"/>
    <x v="10"/>
    <n v="0"/>
    <n v="18"/>
    <x v="23"/>
    <n v="0"/>
  </r>
  <r>
    <s v="1.6.6.4"/>
    <s v="Telhado"/>
    <m/>
    <s v="COBERTURA"/>
    <s v="5.00 dias"/>
    <s v="TelhadoCOB"/>
    <d v="2022-03-22T00:00:00"/>
    <d v="2022-03-28T00:00:00"/>
    <m/>
    <m/>
    <m/>
    <d v="2022-03-28T00:00:00"/>
    <d v="2022-04-01T00:00:00"/>
    <n v="243.7"/>
    <s v="m²"/>
    <n v="209.65947672607118"/>
    <n v="51094.014478143545"/>
    <n v="18"/>
    <n v="19"/>
    <n v="0.48683772728162372"/>
    <n v="0.51316227271837633"/>
    <n v="24874.49388623378"/>
    <n v="26219.520591909768"/>
    <d v="2022-03-07T00:00:00"/>
    <d v="2022-04-12T00:00:00"/>
    <s v="COB"/>
    <s v="TELHA_COB"/>
    <s v="TEL"/>
    <s v="Construct"/>
    <m/>
    <n v="0"/>
    <x v="10"/>
    <n v="0"/>
    <n v="19"/>
    <x v="26"/>
    <n v="51094.014478143545"/>
  </r>
  <r>
    <s v="1.6.6.5"/>
    <s v="Algerosas + Rufos"/>
    <m/>
    <s v="COBERTURA"/>
    <s v="5.00 dias"/>
    <s v="Algerosas + RufosCOB"/>
    <d v="2022-04-19T00:00:00"/>
    <d v="2022-04-25T00:00:00"/>
    <m/>
    <m/>
    <m/>
    <d v="2022-04-22T00:00:00"/>
    <d v="2022-04-29T00:00:00"/>
    <n v="75.180000000000007"/>
    <s v="m"/>
    <n v="134.24139437622111"/>
    <n v="10092.268029204304"/>
    <n v="22"/>
    <n v="23"/>
    <n v="0.24772096710265556"/>
    <n v="0.75227903289734444"/>
    <n v="2500.0663964537021"/>
    <n v="7592.2016327506026"/>
    <d v="2022-04-04T00:00:00"/>
    <d v="2022-05-10T00:00:00"/>
    <s v="COB"/>
    <s v="ALV_COB"/>
    <s v="ALG"/>
    <s v="Construct"/>
    <m/>
    <n v="0"/>
    <x v="10"/>
    <n v="0"/>
    <n v="22"/>
    <x v="4"/>
    <n v="10092.268029204304"/>
  </r>
  <r>
    <n v="2"/>
    <s v="FACHADA"/>
    <m/>
    <m/>
    <s v="93.00 dias"/>
    <s v="FACHADA"/>
    <d v="2022-03-08T00:00:00"/>
    <d v="2022-07-14T00:00:00"/>
    <m/>
    <m/>
    <m/>
    <m/>
    <m/>
    <s v=" "/>
    <m/>
    <m/>
    <m/>
    <n v="16"/>
    <n v="34"/>
    <m/>
    <m/>
    <n v="0"/>
    <n v="0"/>
    <d v="2022-02-21T00:00:00"/>
    <d v="2022-07-29T00:00:00"/>
    <m/>
    <s v=" "/>
    <m/>
    <m/>
    <m/>
    <m/>
    <x v="0"/>
    <m/>
    <m/>
    <x v="0"/>
    <m/>
  </r>
  <r>
    <s v="2.1"/>
    <s v="PANO1"/>
    <m/>
    <m/>
    <s v="68.00 dias"/>
    <s v="PANO1"/>
    <d v="2022-03-08T00:00:00"/>
    <d v="2022-06-09T00:00:00"/>
    <m/>
    <m/>
    <m/>
    <m/>
    <m/>
    <s v=" "/>
    <m/>
    <m/>
    <m/>
    <n v="16"/>
    <n v="29"/>
    <m/>
    <m/>
    <n v="0"/>
    <n v="0"/>
    <d v="2022-02-21T00:00:00"/>
    <d v="2022-06-24T00:00:00"/>
    <m/>
    <s v=" "/>
    <m/>
    <m/>
    <m/>
    <m/>
    <x v="0"/>
    <m/>
    <m/>
    <x v="0"/>
    <m/>
  </r>
  <r>
    <s v="2.1.7.1"/>
    <s v="Reboco Externo"/>
    <m/>
    <s v="FACHADA"/>
    <s v="5.00 dias"/>
    <s v="Reboco ExternoPANO1"/>
    <d v="2022-03-08T00:00:00"/>
    <d v="2022-03-14T00:00:00"/>
    <m/>
    <m/>
    <m/>
    <d v="2022-03-25T00:00:00"/>
    <d v="2022-04-01T00:00:00"/>
    <n v="126.22"/>
    <s v="m²"/>
    <n v="111.22574674641417"/>
    <n v="14038.913754332398"/>
    <n v="16"/>
    <n v="17"/>
    <n v="0.31851905468495528"/>
    <n v="0.68148094531504466"/>
    <n v="4471.6615378335719"/>
    <n v="9567.2522164988259"/>
    <d v="2022-02-21T00:00:00"/>
    <d v="2022-03-29T00:00:00"/>
    <s v="PANO1"/>
    <s v="REVEXT_PANO1"/>
    <s v="REBEXT"/>
    <s v="Construct"/>
    <n v="1"/>
    <n v="14038.913754332398"/>
    <x v="10"/>
    <n v="0"/>
    <n v="18"/>
    <x v="26"/>
    <n v="14038.913754332398"/>
  </r>
  <r>
    <s v="2.1.7.2"/>
    <s v="Pintura Externa "/>
    <m/>
    <s v="FACHADA"/>
    <s v="5.00 dias"/>
    <s v="Pintura Externa PANO1"/>
    <d v="2022-06-03T00:00:00"/>
    <d v="2022-06-09T00:00:00"/>
    <m/>
    <m/>
    <m/>
    <d v="2022-06-03T00:00:00"/>
    <d v="2022-06-09T00:00:00"/>
    <n v="126.22"/>
    <s v="m²"/>
    <n v="49.707079999999983"/>
    <n v="6274.0276375999974"/>
    <n v="28"/>
    <n v="29"/>
    <n v="0.40235935644098908"/>
    <n v="0.59764064355901092"/>
    <n v="2524.4137225577142"/>
    <n v="3749.6139150422832"/>
    <d v="2022-05-19T00:00:00"/>
    <d v="2022-06-24T00:00:00"/>
    <s v="PANO1"/>
    <s v="REVEXT_PANO1"/>
    <s v="PINTEXT"/>
    <s v="Construct"/>
    <m/>
    <n v="0"/>
    <x v="10"/>
    <n v="0"/>
    <n v="28"/>
    <x v="7"/>
    <n v="6274.0276375999974"/>
  </r>
  <r>
    <s v="2.2"/>
    <s v="PANO2"/>
    <m/>
    <m/>
    <s v="68.00 dias"/>
    <s v="PANO2"/>
    <d v="2022-03-15T00:00:00"/>
    <d v="2022-06-16T00:00:00"/>
    <m/>
    <m/>
    <m/>
    <m/>
    <m/>
    <m/>
    <m/>
    <m/>
    <m/>
    <n v="17"/>
    <n v="30"/>
    <m/>
    <m/>
    <n v="0"/>
    <n v="0"/>
    <d v="2022-02-28T00:00:00"/>
    <d v="2022-07-01T00:00:00"/>
    <m/>
    <s v=" "/>
    <m/>
    <m/>
    <m/>
    <m/>
    <x v="0"/>
    <m/>
    <m/>
    <x v="0"/>
    <m/>
  </r>
  <r>
    <s v="2.2.7.1"/>
    <s v="Reboco Externo"/>
    <m/>
    <s v="FACHADA"/>
    <s v="5.00 dias"/>
    <s v="Reboco ExternoPANO2"/>
    <d v="2022-03-15T00:00:00"/>
    <d v="2022-03-21T00:00:00"/>
    <m/>
    <m/>
    <m/>
    <d v="2022-04-01T00:00:00"/>
    <d v="2022-04-08T00:00:00"/>
    <n v="142.51"/>
    <s v="m²"/>
    <n v="111.22574674641417"/>
    <n v="15850.781168831483"/>
    <n v="17"/>
    <n v="18"/>
    <n v="0.31851905468495528"/>
    <n v="0.68148094531504466"/>
    <n v="5048.7758339142947"/>
    <n v="10802.005334917189"/>
    <d v="2022-02-28T00:00:00"/>
    <d v="2022-04-05T00:00:00"/>
    <s v="PANO2"/>
    <s v="REVEXT_PANO2"/>
    <s v="REBEXT"/>
    <s v="Construct"/>
    <n v="0.5"/>
    <n v="7925.3905844157416"/>
    <x v="10"/>
    <n v="0"/>
    <n v="19"/>
    <x v="2"/>
    <n v="15850.781168831483"/>
  </r>
  <r>
    <s v="2.2.7.2"/>
    <s v="Pintura Externa "/>
    <m/>
    <s v="FACHADA"/>
    <s v="5.00 dias"/>
    <s v="Pintura Externa PANO2"/>
    <d v="2022-06-10T00:00:00"/>
    <d v="2022-06-16T00:00:00"/>
    <m/>
    <m/>
    <m/>
    <d v="2022-06-10T00:00:00"/>
    <d v="2022-06-16T00:00:00"/>
    <n v="142.51"/>
    <s v="m²"/>
    <n v="49.707079999999983"/>
    <n v="7083.7559707999972"/>
    <n v="29"/>
    <n v="30"/>
    <n v="0.40235935644098908"/>
    <n v="0.59764064355901092"/>
    <n v="2850.2154935961007"/>
    <n v="4233.5404772038964"/>
    <d v="2022-05-26T00:00:00"/>
    <d v="2022-07-01T00:00:00"/>
    <s v="PANO2"/>
    <s v="REVEXT_PANO2"/>
    <s v="PINTEXT"/>
    <s v="Construct"/>
    <m/>
    <n v="0"/>
    <x v="10"/>
    <n v="0"/>
    <n v="29"/>
    <x v="20"/>
    <n v="7083.7559707999972"/>
  </r>
  <r>
    <s v="2.3"/>
    <s v="PANO3"/>
    <m/>
    <m/>
    <s v="68.00 dias"/>
    <s v="PANO3"/>
    <d v="2022-03-22T00:00:00"/>
    <d v="2022-06-23T00:00:00"/>
    <m/>
    <m/>
    <m/>
    <m/>
    <m/>
    <m/>
    <m/>
    <m/>
    <m/>
    <n v="18"/>
    <n v="31"/>
    <m/>
    <m/>
    <n v="0"/>
    <n v="0"/>
    <d v="2022-03-07T00:00:00"/>
    <d v="2022-07-08T00:00:00"/>
    <m/>
    <s v=" "/>
    <m/>
    <m/>
    <m/>
    <m/>
    <x v="0"/>
    <m/>
    <m/>
    <x v="0"/>
    <m/>
  </r>
  <r>
    <s v="2.3.7.1"/>
    <s v="Reboco Externo"/>
    <m/>
    <s v="FACHADA"/>
    <s v="5.00 dias"/>
    <s v="Reboco ExternoPANO3"/>
    <d v="2022-03-22T00:00:00"/>
    <d v="2022-03-28T00:00:00"/>
    <m/>
    <m/>
    <m/>
    <d v="2022-04-08T00:00:00"/>
    <d v="2022-04-15T00:00:00"/>
    <n v="113.41"/>
    <s v="m²"/>
    <n v="111.22574674641417"/>
    <n v="12614.11193851083"/>
    <n v="18"/>
    <n v="19"/>
    <n v="0.31851905468495528"/>
    <n v="0.68148094531504466"/>
    <n v="4017.8350103446783"/>
    <n v="8596.2769281661513"/>
    <d v="2022-03-07T00:00:00"/>
    <d v="2022-04-12T00:00:00"/>
    <s v="PANO3"/>
    <s v="REVEXT_PANO3"/>
    <s v="REBEXT"/>
    <s v="Construct"/>
    <m/>
    <n v="0"/>
    <x v="10"/>
    <n v="0"/>
    <n v="20"/>
    <x v="3"/>
    <n v="12614.11193851083"/>
  </r>
  <r>
    <s v="2.3.7.2"/>
    <s v="Pintura Externa "/>
    <m/>
    <s v="FACHADA"/>
    <s v="5.00 dias"/>
    <s v="Pintura Externa PANO3"/>
    <d v="2022-06-17T00:00:00"/>
    <d v="2022-06-23T00:00:00"/>
    <m/>
    <m/>
    <m/>
    <d v="2022-06-17T00:00:00"/>
    <d v="2022-06-23T00:00:00"/>
    <n v="113.41"/>
    <s v="m²"/>
    <n v="49.707079999999983"/>
    <n v="5637.279942799998"/>
    <n v="30"/>
    <n v="31"/>
    <n v="0.40235935644098908"/>
    <n v="0.59764064355901092"/>
    <n v="2268.212329862703"/>
    <n v="3369.0676129372951"/>
    <d v="2022-06-02T00:00:00"/>
    <d v="2022-07-08T00:00:00"/>
    <s v="PANO3"/>
    <s v="REVEXT_PANO3"/>
    <s v="PINTEXT"/>
    <s v="Construct"/>
    <m/>
    <n v="0"/>
    <x v="10"/>
    <n v="0"/>
    <n v="30"/>
    <x v="8"/>
    <n v="5637.279942799998"/>
  </r>
  <r>
    <s v="2.4"/>
    <s v="PANO4"/>
    <m/>
    <m/>
    <s v="68.00 dias"/>
    <s v="PANO4"/>
    <d v="2022-03-29T00:00:00"/>
    <d v="2022-06-30T00:00:00"/>
    <m/>
    <m/>
    <m/>
    <m/>
    <m/>
    <m/>
    <m/>
    <m/>
    <m/>
    <n v="19"/>
    <n v="32"/>
    <m/>
    <m/>
    <n v="0"/>
    <n v="0"/>
    <d v="2022-03-14T00:00:00"/>
    <d v="2022-07-15T00:00:00"/>
    <m/>
    <s v=" "/>
    <m/>
    <m/>
    <m/>
    <m/>
    <x v="0"/>
    <m/>
    <m/>
    <x v="0"/>
    <m/>
  </r>
  <r>
    <s v="2.4.7.1"/>
    <s v="Reboco Externo"/>
    <m/>
    <s v="FACHADA"/>
    <s v="5.00 dias"/>
    <s v="Reboco ExternoPANO4"/>
    <d v="2022-03-29T00:00:00"/>
    <d v="2022-04-04T00:00:00"/>
    <m/>
    <m/>
    <m/>
    <d v="2022-04-15T00:00:00"/>
    <d v="2022-04-22T00:00:00"/>
    <n v="124.84"/>
    <s v="m²"/>
    <n v="111.22574674641417"/>
    <n v="13885.422223822346"/>
    <n v="19"/>
    <n v="20"/>
    <n v="0.31851905468495528"/>
    <n v="0.68148094531504466"/>
    <n v="4422.7715606333632"/>
    <n v="9462.6506631889824"/>
    <d v="2022-03-14T00:00:00"/>
    <d v="2022-04-19T00:00:00"/>
    <s v="PANO4"/>
    <s v="REVEXT_PANO4"/>
    <s v="REBEXT"/>
    <s v="Construct"/>
    <m/>
    <n v="0"/>
    <x v="10"/>
    <n v="0"/>
    <n v="21"/>
    <x v="17"/>
    <n v="13885.422223822346"/>
  </r>
  <r>
    <s v="2.4.7.2"/>
    <s v="Pintura Externa "/>
    <m/>
    <s v="FACHADA"/>
    <s v="5.00 dias"/>
    <s v="Pintura Externa PANO4"/>
    <d v="2022-06-24T00:00:00"/>
    <d v="2022-06-30T00:00:00"/>
    <m/>
    <m/>
    <m/>
    <d v="2022-06-24T00:00:00"/>
    <d v="2022-06-30T00:00:00"/>
    <n v="124.84"/>
    <s v="m²"/>
    <n v="49.707079999999983"/>
    <n v="6205.4318671999981"/>
    <n v="31"/>
    <n v="32"/>
    <n v="0.40235935644098908"/>
    <n v="0.59764064355901092"/>
    <n v="2496.8135725249963"/>
    <n v="3708.6182946750018"/>
    <d v="2022-06-09T00:00:00"/>
    <d v="2022-07-15T00:00:00"/>
    <s v="PANO4"/>
    <s v="REVEXT_PANO4"/>
    <s v="PINTEXT"/>
    <s v="Construct"/>
    <m/>
    <n v="0"/>
    <x v="10"/>
    <n v="0"/>
    <n v="31"/>
    <x v="9"/>
    <n v="6205.4318671999981"/>
  </r>
  <r>
    <s v="2.5"/>
    <s v="PANO5"/>
    <m/>
    <m/>
    <s v="68.00 dias"/>
    <s v="PANO5"/>
    <d v="2022-04-05T00:00:00"/>
    <d v="2022-07-07T00:00:00"/>
    <m/>
    <m/>
    <m/>
    <m/>
    <m/>
    <m/>
    <m/>
    <m/>
    <m/>
    <n v="20"/>
    <n v="33"/>
    <m/>
    <m/>
    <n v="0"/>
    <n v="0"/>
    <d v="2022-03-21T00:00:00"/>
    <d v="2022-07-22T00:00:00"/>
    <m/>
    <s v=" "/>
    <m/>
    <m/>
    <m/>
    <m/>
    <x v="0"/>
    <m/>
    <m/>
    <x v="0"/>
    <m/>
  </r>
  <r>
    <s v="2.5.7.1"/>
    <s v="Reboco Externo"/>
    <m/>
    <s v="FACHADA"/>
    <s v="5.00 dias"/>
    <s v="Reboco ExternoPANO5"/>
    <d v="2022-04-05T00:00:00"/>
    <d v="2022-04-11T00:00:00"/>
    <m/>
    <m/>
    <m/>
    <d v="2022-04-22T00:00:00"/>
    <d v="2022-04-29T00:00:00"/>
    <n v="138.44"/>
    <s v="m²"/>
    <n v="111.22574674641417"/>
    <n v="15398.092379573578"/>
    <n v="20"/>
    <n v="21"/>
    <n v="0.31851905468495528"/>
    <n v="0.68148094531504466"/>
    <n v="4904.5858286933899"/>
    <n v="10493.506550880187"/>
    <d v="2022-03-21T00:00:00"/>
    <d v="2022-04-26T00:00:00"/>
    <s v="PANO5"/>
    <s v="REVEXT_PANO5"/>
    <s v="REBEXT"/>
    <s v="Construct"/>
    <m/>
    <n v="0"/>
    <x v="10"/>
    <n v="0"/>
    <n v="22"/>
    <x v="4"/>
    <n v="15398.092379573578"/>
  </r>
  <r>
    <s v="2.5.7.2"/>
    <s v="Pintura Externa "/>
    <m/>
    <s v="FACHADA"/>
    <s v="5.00 dias"/>
    <s v="Pintura Externa PANO5"/>
    <d v="2022-07-01T00:00:00"/>
    <d v="2022-07-07T00:00:00"/>
    <m/>
    <m/>
    <m/>
    <d v="2022-07-01T00:00:00"/>
    <d v="2022-07-07T00:00:00"/>
    <n v="138.44"/>
    <s v="m²"/>
    <n v="49.707079999999983"/>
    <n v="6881.4481551999979"/>
    <n v="32"/>
    <n v="33"/>
    <n v="0.40235935644098908"/>
    <n v="0.59764064355901092"/>
    <n v="2768.8150511083027"/>
    <n v="4112.6331040916948"/>
    <d v="2022-06-16T00:00:00"/>
    <d v="2022-07-22T00:00:00"/>
    <s v="PANO5"/>
    <s v="REVEXT_PANO5"/>
    <s v="PINTEXT"/>
    <s v="Construct"/>
    <m/>
    <n v="0"/>
    <x v="10"/>
    <n v="0"/>
    <n v="32"/>
    <x v="10"/>
    <n v="6881.4481551999979"/>
  </r>
  <r>
    <s v="2.6"/>
    <s v="PANO6"/>
    <m/>
    <m/>
    <s v="68.00 dias"/>
    <s v="PANO6"/>
    <d v="2022-04-12T00:00:00"/>
    <d v="2022-07-14T00:00:00"/>
    <m/>
    <m/>
    <m/>
    <m/>
    <m/>
    <m/>
    <m/>
    <m/>
    <m/>
    <n v="21"/>
    <n v="34"/>
    <m/>
    <m/>
    <n v="0"/>
    <n v="0"/>
    <d v="2022-03-28T00:00:00"/>
    <d v="2022-07-29T00:00:00"/>
    <m/>
    <s v=" "/>
    <m/>
    <m/>
    <m/>
    <m/>
    <x v="0"/>
    <m/>
    <m/>
    <x v="0"/>
    <m/>
  </r>
  <r>
    <s v="2.6.7.1"/>
    <s v="Reboco Externo"/>
    <m/>
    <s v="FACHADA"/>
    <s v="5.00 dias"/>
    <s v="Reboco ExternoPANO6"/>
    <d v="2022-04-12T00:00:00"/>
    <d v="2022-04-18T00:00:00"/>
    <m/>
    <m/>
    <m/>
    <d v="2022-04-29T00:00:00"/>
    <d v="2022-05-06T00:00:00"/>
    <n v="99.85"/>
    <s v="m²"/>
    <n v="111.22574674641417"/>
    <n v="11105.890812629455"/>
    <n v="21"/>
    <n v="22"/>
    <n v="0.31851905468495528"/>
    <n v="0.68148094531504466"/>
    <n v="3537.437843073064"/>
    <n v="7568.4529695563906"/>
    <d v="2022-03-28T00:00:00"/>
    <d v="2022-05-03T00:00:00"/>
    <s v="PANO6"/>
    <s v="REVEXT_PANO6"/>
    <s v="REBEXT"/>
    <s v="Construct"/>
    <m/>
    <n v="0"/>
    <x v="10"/>
    <n v="0"/>
    <n v="23"/>
    <x v="18"/>
    <n v="11105.890812629455"/>
  </r>
  <r>
    <s v="2.6.7.2"/>
    <s v="Pintura Externa "/>
    <m/>
    <s v="FACHADA"/>
    <s v="5.00 dias"/>
    <s v="Pintura Externa PANO6"/>
    <d v="2022-07-08T00:00:00"/>
    <d v="2022-07-14T00:00:00"/>
    <m/>
    <m/>
    <m/>
    <d v="2022-07-08T00:00:00"/>
    <d v="2022-07-14T00:00:00"/>
    <n v="99.85"/>
    <s v="m²"/>
    <n v="49.707079999999983"/>
    <n v="4963.2519379999985"/>
    <n v="33"/>
    <n v="34"/>
    <n v="0.40235935644098908"/>
    <n v="0.59764064355901092"/>
    <n v="1997.0108556281712"/>
    <n v="2966.2410823718274"/>
    <d v="2022-06-23T00:00:00"/>
    <d v="2022-07-29T00:00:00"/>
    <s v="PANO6"/>
    <s v="REVEXT_PANO6"/>
    <s v="PINTEXT"/>
    <s v="Construct"/>
    <m/>
    <n v="0"/>
    <x v="10"/>
    <n v="0"/>
    <n v="33"/>
    <x v="11"/>
    <n v="4963.25193799999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71D91C-6B00-44E6-851D-743B16B40E80}" name="Tabela dinâmica3" cacheId="3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G2:H30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9">
        <item m="1" x="27"/>
        <item x="23"/>
        <item x="26"/>
        <item x="2"/>
        <item x="3"/>
        <item x="17"/>
        <item x="4"/>
        <item x="18"/>
        <item x="5"/>
        <item x="19"/>
        <item x="24"/>
        <item x="6"/>
        <item x="7"/>
        <item x="20"/>
        <item x="8"/>
        <item x="9"/>
        <item x="10"/>
        <item x="11"/>
        <item x="12"/>
        <item x="13"/>
        <item x="21"/>
        <item x="14"/>
        <item x="15"/>
        <item x="22"/>
        <item x="16"/>
        <item x="25"/>
        <item x="1"/>
        <item x="0"/>
        <item t="default"/>
      </items>
    </pivotField>
    <pivotField dataField="1" showAll="0"/>
  </pivotFields>
  <rowFields count="1">
    <field x="34"/>
  </rowFields>
  <rowItems count="2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oma de CUSTO REPLAN" fld="3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51116-6782-4723-894A-63A47A136527}" name="Tabela dinâmica2" cacheId="3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D2:E18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1"/>
        <item x="2"/>
        <item x="3"/>
        <item x="4"/>
        <item x="5"/>
        <item x="6"/>
        <item x="7"/>
        <item x="11"/>
        <item x="12"/>
        <item x="14"/>
        <item x="8"/>
        <item x="9"/>
        <item x="13"/>
        <item x="10"/>
        <item x="0"/>
        <item t="default"/>
      </items>
    </pivotField>
    <pivotField dataField="1" showAll="0"/>
    <pivotField showAll="0"/>
    <pivotField showAll="0"/>
    <pivotField showAll="0"/>
  </pivotFields>
  <rowFields count="1">
    <field x="3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oma de R$ EXECUTADO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E4B152-6F07-4204-BB7F-B74CB5341425}" name="Tabela dinâmica1" cacheId="9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:B45" firstHeaderRow="1" firstDataRow="1" firstDataCol="1" rowPageCount="1" colPageCount="1"/>
  <pivotFields count="20">
    <pivotField showAll="0"/>
    <pivotField showAll="0"/>
    <pivotField showAll="0">
      <items count="3">
        <item x="1"/>
        <item x="0"/>
        <item t="default"/>
      </items>
    </pivotField>
    <pivotField axis="axisPage" multipleItemSelectionAllowed="1" showAll="0">
      <items count="6">
        <item x="3"/>
        <item x="4"/>
        <item x="1"/>
        <item x="2"/>
        <item h="1" x="0"/>
        <item t="default"/>
      </items>
    </pivotField>
    <pivotField showAll="0"/>
    <pivotField numFmtId="14" showAll="0"/>
    <pivotField numFmtId="14" showAll="0"/>
    <pivotField showAll="0"/>
    <pivotField showAll="0"/>
    <pivotField numFmtId="8" showAll="0"/>
    <pivotField numFmtId="8" showAll="0"/>
    <pivotField showAll="0"/>
    <pivotField showAll="0"/>
    <pivotField numFmtId="9" showAll="0"/>
    <pivotField showAll="0"/>
    <pivotField showAll="0"/>
    <pivotField showAll="0"/>
    <pivotField dataField="1" showAll="0"/>
    <pivotField showAll="0"/>
    <pivotField axis="axisRow" showAll="0">
      <items count="41">
        <item x="2"/>
        <item x="3"/>
        <item x="4"/>
        <item x="5"/>
        <item x="1"/>
        <item x="7"/>
        <item x="8"/>
        <item x="25"/>
        <item x="26"/>
        <item x="36"/>
        <item x="37"/>
        <item x="9"/>
        <item x="27"/>
        <item x="10"/>
        <item x="28"/>
        <item x="38"/>
        <item x="11"/>
        <item x="12"/>
        <item x="29"/>
        <item x="13"/>
        <item x="30"/>
        <item x="14"/>
        <item x="31"/>
        <item x="39"/>
        <item x="15"/>
        <item x="16"/>
        <item x="32"/>
        <item x="17"/>
        <item x="18"/>
        <item x="19"/>
        <item x="33"/>
        <item x="20"/>
        <item x="21"/>
        <item x="22"/>
        <item x="34"/>
        <item x="23"/>
        <item x="6"/>
        <item x="24"/>
        <item x="35"/>
        <item x="0"/>
        <item t="default"/>
      </items>
    </pivotField>
  </pivotFields>
  <rowFields count="1">
    <field x="19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pageFields count="1">
    <pageField fld="3" hier="-1"/>
  </pageFields>
  <dataFields count="1">
    <dataField name="Soma de TOTAL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0C76D-4F27-4B78-87BB-5AF9D5639338}" name="Tabela dinâmica3" cacheId="1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E3:F16" firstHeaderRow="1" firstDataRow="1" firstDataCol="1" rowPageCount="1" colPageCount="1"/>
  <pivotFields count="25">
    <pivotField showAll="0"/>
    <pivotField showAll="0"/>
    <pivotField showAll="0"/>
    <pivotField axis="axisPage" multipleItemSelectionAllowed="1" showAll="0">
      <items count="6">
        <item x="3"/>
        <item x="4"/>
        <item x="1"/>
        <item x="2"/>
        <item h="1" x="0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defaultSubtotal="0"/>
    <pivotField showAll="0" defaultSubtota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</pivotFields>
  <rowFields count="2">
    <field x="24"/>
    <field x="20"/>
  </rowFields>
  <rowItems count="13">
    <i>
      <x v="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pageFields count="1">
    <pageField fld="3" hier="-1"/>
  </pageFields>
  <dataFields count="1">
    <dataField name="Soma de R$ MO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B3CA17-9DA3-4D92-97D4-6D56625422D8}" name="Tabela dinâmica2" cacheId="1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6" firstHeaderRow="1" firstDataRow="1" firstDataCol="1" rowPageCount="1" colPageCount="1"/>
  <pivotFields count="25">
    <pivotField showAll="0"/>
    <pivotField showAll="0"/>
    <pivotField showAll="0"/>
    <pivotField axis="axisPage" multipleItemSelectionAllowed="1" showAll="0">
      <items count="6">
        <item x="3"/>
        <item x="4"/>
        <item x="1"/>
        <item x="2"/>
        <item h="1" x="0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2">
    <field x="22"/>
    <field x="19"/>
  </rowFields>
  <rowItems count="13">
    <i>
      <x v="1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pageFields count="1">
    <pageField fld="3" hier="-1"/>
  </pageFields>
  <dataFields count="1">
    <dataField name="Soma de R$ MAT" fld="17" baseField="0" baseItem="0"/>
  </dataFields>
  <formats count="3">
    <format dxfId="2">
      <pivotArea dataOnly="0" labelOnly="1" fieldPosition="0">
        <references count="1">
          <reference field="22" count="1">
            <x v="2"/>
          </reference>
        </references>
      </pivotArea>
    </format>
    <format dxfId="1">
      <pivotArea dataOnly="0" labelOnly="1" fieldPosition="0">
        <references count="2">
          <reference field="19" count="2">
            <x v="11"/>
            <x v="12"/>
          </reference>
          <reference field="22" count="1" selected="0">
            <x v="1"/>
          </reference>
        </references>
      </pivotArea>
    </format>
    <format dxfId="0">
      <pivotArea dataOnly="0" labelOnly="1" fieldPosition="0">
        <references count="2">
          <reference field="19" count="8">
            <x v="1"/>
            <x v="2"/>
            <x v="3"/>
            <x v="4"/>
            <x v="5"/>
            <x v="6"/>
            <x v="7"/>
            <x v="8"/>
          </reference>
          <reference field="2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1"/>
  <sheetViews>
    <sheetView topLeftCell="A259" zoomScale="85" zoomScaleNormal="85" workbookViewId="0">
      <selection activeCell="B1" sqref="B1:D301"/>
    </sheetView>
  </sheetViews>
  <sheetFormatPr defaultRowHeight="15"/>
  <cols>
    <col min="2" max="2" width="10.140625" style="4" customWidth="1"/>
    <col min="3" max="3" width="9.140625" style="3"/>
  </cols>
  <sheetData>
    <row r="1" spans="2:4">
      <c r="B1" s="2">
        <v>44522</v>
      </c>
      <c r="C1" s="3">
        <v>1</v>
      </c>
      <c r="D1" t="s">
        <v>188</v>
      </c>
    </row>
    <row r="2" spans="2:4">
      <c r="B2" s="4">
        <f>B1+1</f>
        <v>44523</v>
      </c>
      <c r="C2" s="3">
        <v>1</v>
      </c>
      <c r="D2" t="s">
        <v>189</v>
      </c>
    </row>
    <row r="3" spans="2:4">
      <c r="B3" s="4">
        <f t="shared" ref="B3:B66" si="0">B2+1</f>
        <v>44524</v>
      </c>
      <c r="C3" s="3">
        <v>1</v>
      </c>
      <c r="D3" t="s">
        <v>190</v>
      </c>
    </row>
    <row r="4" spans="2:4">
      <c r="B4" s="4">
        <f t="shared" si="0"/>
        <v>44525</v>
      </c>
      <c r="C4" s="3">
        <v>1</v>
      </c>
      <c r="D4" t="s">
        <v>191</v>
      </c>
    </row>
    <row r="5" spans="2:4">
      <c r="B5" s="4">
        <f t="shared" si="0"/>
        <v>44526</v>
      </c>
      <c r="C5" s="3">
        <v>1</v>
      </c>
      <c r="D5" t="s">
        <v>192</v>
      </c>
    </row>
    <row r="6" spans="2:4">
      <c r="B6" s="4">
        <f t="shared" si="0"/>
        <v>44527</v>
      </c>
      <c r="C6" s="3">
        <v>1</v>
      </c>
      <c r="D6" t="s">
        <v>193</v>
      </c>
    </row>
    <row r="7" spans="2:4">
      <c r="B7" s="4">
        <f t="shared" si="0"/>
        <v>44528</v>
      </c>
      <c r="C7" s="3">
        <v>1</v>
      </c>
      <c r="D7" t="s">
        <v>194</v>
      </c>
    </row>
    <row r="8" spans="2:4">
      <c r="B8" s="4">
        <f t="shared" si="0"/>
        <v>44529</v>
      </c>
      <c r="C8" s="3">
        <f>C1+1</f>
        <v>2</v>
      </c>
      <c r="D8" t="s">
        <v>188</v>
      </c>
    </row>
    <row r="9" spans="2:4">
      <c r="B9" s="4">
        <f t="shared" si="0"/>
        <v>44530</v>
      </c>
      <c r="C9" s="3">
        <f t="shared" ref="C9:C72" si="1">C2+1</f>
        <v>2</v>
      </c>
      <c r="D9" t="s">
        <v>189</v>
      </c>
    </row>
    <row r="10" spans="2:4">
      <c r="B10" s="4">
        <f t="shared" si="0"/>
        <v>44531</v>
      </c>
      <c r="C10" s="3">
        <f t="shared" si="1"/>
        <v>2</v>
      </c>
      <c r="D10" t="s">
        <v>190</v>
      </c>
    </row>
    <row r="11" spans="2:4">
      <c r="B11" s="4">
        <f t="shared" si="0"/>
        <v>44532</v>
      </c>
      <c r="C11" s="3">
        <f t="shared" si="1"/>
        <v>2</v>
      </c>
      <c r="D11" t="s">
        <v>191</v>
      </c>
    </row>
    <row r="12" spans="2:4">
      <c r="B12" s="4">
        <f t="shared" si="0"/>
        <v>44533</v>
      </c>
      <c r="C12" s="3">
        <f t="shared" si="1"/>
        <v>2</v>
      </c>
      <c r="D12" t="s">
        <v>192</v>
      </c>
    </row>
    <row r="13" spans="2:4">
      <c r="B13" s="4">
        <f t="shared" si="0"/>
        <v>44534</v>
      </c>
      <c r="C13" s="3">
        <f t="shared" si="1"/>
        <v>2</v>
      </c>
      <c r="D13" t="s">
        <v>193</v>
      </c>
    </row>
    <row r="14" spans="2:4">
      <c r="B14" s="4">
        <f t="shared" si="0"/>
        <v>44535</v>
      </c>
      <c r="C14" s="3">
        <f t="shared" si="1"/>
        <v>2</v>
      </c>
      <c r="D14" t="s">
        <v>194</v>
      </c>
    </row>
    <row r="15" spans="2:4">
      <c r="B15" s="4">
        <f t="shared" si="0"/>
        <v>44536</v>
      </c>
      <c r="C15" s="3">
        <f t="shared" si="1"/>
        <v>3</v>
      </c>
      <c r="D15" t="s">
        <v>188</v>
      </c>
    </row>
    <row r="16" spans="2:4">
      <c r="B16" s="4">
        <f t="shared" si="0"/>
        <v>44537</v>
      </c>
      <c r="C16" s="3">
        <f t="shared" si="1"/>
        <v>3</v>
      </c>
      <c r="D16" t="s">
        <v>189</v>
      </c>
    </row>
    <row r="17" spans="2:4">
      <c r="B17" s="4">
        <f t="shared" si="0"/>
        <v>44538</v>
      </c>
      <c r="C17" s="3">
        <f t="shared" si="1"/>
        <v>3</v>
      </c>
      <c r="D17" t="s">
        <v>190</v>
      </c>
    </row>
    <row r="18" spans="2:4">
      <c r="B18" s="4">
        <f t="shared" si="0"/>
        <v>44539</v>
      </c>
      <c r="C18" s="3">
        <f t="shared" si="1"/>
        <v>3</v>
      </c>
      <c r="D18" t="s">
        <v>191</v>
      </c>
    </row>
    <row r="19" spans="2:4">
      <c r="B19" s="4">
        <f t="shared" si="0"/>
        <v>44540</v>
      </c>
      <c r="C19" s="3">
        <f t="shared" si="1"/>
        <v>3</v>
      </c>
      <c r="D19" t="s">
        <v>192</v>
      </c>
    </row>
    <row r="20" spans="2:4">
      <c r="B20" s="4">
        <f t="shared" si="0"/>
        <v>44541</v>
      </c>
      <c r="C20" s="3">
        <f t="shared" si="1"/>
        <v>3</v>
      </c>
      <c r="D20" t="s">
        <v>193</v>
      </c>
    </row>
    <row r="21" spans="2:4">
      <c r="B21" s="4">
        <f t="shared" si="0"/>
        <v>44542</v>
      </c>
      <c r="C21" s="3">
        <f t="shared" si="1"/>
        <v>3</v>
      </c>
      <c r="D21" t="s">
        <v>194</v>
      </c>
    </row>
    <row r="22" spans="2:4">
      <c r="B22" s="4">
        <f t="shared" si="0"/>
        <v>44543</v>
      </c>
      <c r="C22" s="3">
        <f t="shared" si="1"/>
        <v>4</v>
      </c>
      <c r="D22" t="s">
        <v>188</v>
      </c>
    </row>
    <row r="23" spans="2:4">
      <c r="B23" s="4">
        <f t="shared" si="0"/>
        <v>44544</v>
      </c>
      <c r="C23" s="3">
        <f t="shared" si="1"/>
        <v>4</v>
      </c>
      <c r="D23" t="s">
        <v>189</v>
      </c>
    </row>
    <row r="24" spans="2:4">
      <c r="B24" s="4">
        <f t="shared" si="0"/>
        <v>44545</v>
      </c>
      <c r="C24" s="3">
        <f t="shared" si="1"/>
        <v>4</v>
      </c>
      <c r="D24" t="s">
        <v>190</v>
      </c>
    </row>
    <row r="25" spans="2:4">
      <c r="B25" s="4">
        <f t="shared" si="0"/>
        <v>44546</v>
      </c>
      <c r="C25" s="3">
        <f t="shared" si="1"/>
        <v>4</v>
      </c>
      <c r="D25" t="s">
        <v>191</v>
      </c>
    </row>
    <row r="26" spans="2:4">
      <c r="B26" s="4">
        <f t="shared" si="0"/>
        <v>44547</v>
      </c>
      <c r="C26" s="3">
        <f t="shared" si="1"/>
        <v>4</v>
      </c>
      <c r="D26" t="s">
        <v>192</v>
      </c>
    </row>
    <row r="27" spans="2:4">
      <c r="B27" s="4">
        <f t="shared" si="0"/>
        <v>44548</v>
      </c>
      <c r="C27" s="3">
        <f t="shared" si="1"/>
        <v>4</v>
      </c>
      <c r="D27" t="s">
        <v>193</v>
      </c>
    </row>
    <row r="28" spans="2:4">
      <c r="B28" s="4">
        <f t="shared" si="0"/>
        <v>44549</v>
      </c>
      <c r="C28" s="3">
        <f t="shared" si="1"/>
        <v>4</v>
      </c>
      <c r="D28" t="s">
        <v>194</v>
      </c>
    </row>
    <row r="29" spans="2:4">
      <c r="B29" s="4">
        <f t="shared" si="0"/>
        <v>44550</v>
      </c>
      <c r="C29" s="3">
        <f t="shared" si="1"/>
        <v>5</v>
      </c>
      <c r="D29" t="s">
        <v>188</v>
      </c>
    </row>
    <row r="30" spans="2:4">
      <c r="B30" s="4">
        <f t="shared" si="0"/>
        <v>44551</v>
      </c>
      <c r="C30" s="3">
        <f t="shared" si="1"/>
        <v>5</v>
      </c>
      <c r="D30" t="s">
        <v>189</v>
      </c>
    </row>
    <row r="31" spans="2:4">
      <c r="B31" s="4">
        <f t="shared" si="0"/>
        <v>44552</v>
      </c>
      <c r="C31" s="3">
        <f t="shared" si="1"/>
        <v>5</v>
      </c>
      <c r="D31" t="s">
        <v>190</v>
      </c>
    </row>
    <row r="32" spans="2:4">
      <c r="B32" s="4">
        <f t="shared" si="0"/>
        <v>44553</v>
      </c>
      <c r="C32" s="3">
        <f t="shared" si="1"/>
        <v>5</v>
      </c>
      <c r="D32" t="s">
        <v>191</v>
      </c>
    </row>
    <row r="33" spans="2:4">
      <c r="B33" s="4">
        <f t="shared" si="0"/>
        <v>44554</v>
      </c>
      <c r="C33" s="3">
        <f t="shared" si="1"/>
        <v>5</v>
      </c>
      <c r="D33" t="s">
        <v>192</v>
      </c>
    </row>
    <row r="34" spans="2:4">
      <c r="B34" s="4">
        <f t="shared" si="0"/>
        <v>44555</v>
      </c>
      <c r="C34" s="3">
        <f t="shared" si="1"/>
        <v>5</v>
      </c>
      <c r="D34" t="s">
        <v>193</v>
      </c>
    </row>
    <row r="35" spans="2:4">
      <c r="B35" s="4">
        <f t="shared" si="0"/>
        <v>44556</v>
      </c>
      <c r="C35" s="3">
        <f t="shared" si="1"/>
        <v>5</v>
      </c>
      <c r="D35" t="s">
        <v>194</v>
      </c>
    </row>
    <row r="36" spans="2:4">
      <c r="B36" s="4">
        <f t="shared" si="0"/>
        <v>44557</v>
      </c>
      <c r="C36" s="3">
        <f t="shared" si="1"/>
        <v>6</v>
      </c>
      <c r="D36" t="s">
        <v>188</v>
      </c>
    </row>
    <row r="37" spans="2:4">
      <c r="B37" s="4">
        <f t="shared" si="0"/>
        <v>44558</v>
      </c>
      <c r="C37" s="3">
        <f t="shared" si="1"/>
        <v>6</v>
      </c>
      <c r="D37" t="s">
        <v>189</v>
      </c>
    </row>
    <row r="38" spans="2:4">
      <c r="B38" s="4">
        <f t="shared" si="0"/>
        <v>44559</v>
      </c>
      <c r="C38" s="3">
        <f t="shared" si="1"/>
        <v>6</v>
      </c>
      <c r="D38" t="s">
        <v>190</v>
      </c>
    </row>
    <row r="39" spans="2:4">
      <c r="B39" s="4">
        <f t="shared" si="0"/>
        <v>44560</v>
      </c>
      <c r="C39" s="3">
        <f t="shared" si="1"/>
        <v>6</v>
      </c>
      <c r="D39" t="s">
        <v>191</v>
      </c>
    </row>
    <row r="40" spans="2:4">
      <c r="B40" s="4">
        <f t="shared" si="0"/>
        <v>44561</v>
      </c>
      <c r="C40" s="3">
        <f t="shared" si="1"/>
        <v>6</v>
      </c>
      <c r="D40" t="s">
        <v>192</v>
      </c>
    </row>
    <row r="41" spans="2:4">
      <c r="B41" s="4">
        <f t="shared" si="0"/>
        <v>44562</v>
      </c>
      <c r="C41" s="3">
        <f t="shared" si="1"/>
        <v>6</v>
      </c>
      <c r="D41" t="s">
        <v>193</v>
      </c>
    </row>
    <row r="42" spans="2:4">
      <c r="B42" s="4">
        <f t="shared" si="0"/>
        <v>44563</v>
      </c>
      <c r="C42" s="3">
        <f t="shared" si="1"/>
        <v>6</v>
      </c>
      <c r="D42" t="s">
        <v>194</v>
      </c>
    </row>
    <row r="43" spans="2:4">
      <c r="B43" s="4">
        <f t="shared" si="0"/>
        <v>44564</v>
      </c>
      <c r="C43" s="3">
        <f t="shared" si="1"/>
        <v>7</v>
      </c>
      <c r="D43" t="s">
        <v>188</v>
      </c>
    </row>
    <row r="44" spans="2:4">
      <c r="B44" s="4">
        <f t="shared" si="0"/>
        <v>44565</v>
      </c>
      <c r="C44" s="3">
        <f t="shared" si="1"/>
        <v>7</v>
      </c>
      <c r="D44" t="s">
        <v>189</v>
      </c>
    </row>
    <row r="45" spans="2:4">
      <c r="B45" s="4">
        <f t="shared" si="0"/>
        <v>44566</v>
      </c>
      <c r="C45" s="3">
        <f t="shared" si="1"/>
        <v>7</v>
      </c>
      <c r="D45" t="s">
        <v>190</v>
      </c>
    </row>
    <row r="46" spans="2:4">
      <c r="B46" s="4">
        <f t="shared" si="0"/>
        <v>44567</v>
      </c>
      <c r="C46" s="3">
        <f t="shared" si="1"/>
        <v>7</v>
      </c>
      <c r="D46" t="s">
        <v>191</v>
      </c>
    </row>
    <row r="47" spans="2:4">
      <c r="B47" s="4">
        <f t="shared" si="0"/>
        <v>44568</v>
      </c>
      <c r="C47" s="3">
        <f t="shared" si="1"/>
        <v>7</v>
      </c>
      <c r="D47" t="s">
        <v>192</v>
      </c>
    </row>
    <row r="48" spans="2:4">
      <c r="B48" s="4">
        <f t="shared" si="0"/>
        <v>44569</v>
      </c>
      <c r="C48" s="3">
        <f t="shared" si="1"/>
        <v>7</v>
      </c>
      <c r="D48" t="s">
        <v>193</v>
      </c>
    </row>
    <row r="49" spans="2:4">
      <c r="B49" s="4">
        <f t="shared" si="0"/>
        <v>44570</v>
      </c>
      <c r="C49" s="3">
        <f t="shared" si="1"/>
        <v>7</v>
      </c>
      <c r="D49" t="s">
        <v>194</v>
      </c>
    </row>
    <row r="50" spans="2:4">
      <c r="B50" s="4">
        <f t="shared" si="0"/>
        <v>44571</v>
      </c>
      <c r="C50" s="3">
        <f t="shared" si="1"/>
        <v>8</v>
      </c>
      <c r="D50" t="s">
        <v>188</v>
      </c>
    </row>
    <row r="51" spans="2:4">
      <c r="B51" s="4">
        <f t="shared" si="0"/>
        <v>44572</v>
      </c>
      <c r="C51" s="3">
        <f t="shared" si="1"/>
        <v>8</v>
      </c>
      <c r="D51" t="s">
        <v>189</v>
      </c>
    </row>
    <row r="52" spans="2:4">
      <c r="B52" s="4">
        <f t="shared" si="0"/>
        <v>44573</v>
      </c>
      <c r="C52" s="3">
        <f t="shared" si="1"/>
        <v>8</v>
      </c>
      <c r="D52" t="s">
        <v>190</v>
      </c>
    </row>
    <row r="53" spans="2:4">
      <c r="B53" s="4">
        <f t="shared" si="0"/>
        <v>44574</v>
      </c>
      <c r="C53" s="3">
        <f t="shared" si="1"/>
        <v>8</v>
      </c>
      <c r="D53" t="s">
        <v>191</v>
      </c>
    </row>
    <row r="54" spans="2:4">
      <c r="B54" s="4">
        <f t="shared" si="0"/>
        <v>44575</v>
      </c>
      <c r="C54" s="3">
        <f t="shared" si="1"/>
        <v>8</v>
      </c>
      <c r="D54" t="s">
        <v>192</v>
      </c>
    </row>
    <row r="55" spans="2:4">
      <c r="B55" s="4">
        <f t="shared" si="0"/>
        <v>44576</v>
      </c>
      <c r="C55" s="3">
        <f t="shared" si="1"/>
        <v>8</v>
      </c>
      <c r="D55" t="s">
        <v>193</v>
      </c>
    </row>
    <row r="56" spans="2:4">
      <c r="B56" s="4">
        <f t="shared" si="0"/>
        <v>44577</v>
      </c>
      <c r="C56" s="3">
        <f t="shared" si="1"/>
        <v>8</v>
      </c>
      <c r="D56" t="s">
        <v>194</v>
      </c>
    </row>
    <row r="57" spans="2:4">
      <c r="B57" s="4">
        <f t="shared" si="0"/>
        <v>44578</v>
      </c>
      <c r="C57" s="3">
        <f t="shared" si="1"/>
        <v>9</v>
      </c>
      <c r="D57" t="s">
        <v>188</v>
      </c>
    </row>
    <row r="58" spans="2:4">
      <c r="B58" s="4">
        <f t="shared" si="0"/>
        <v>44579</v>
      </c>
      <c r="C58" s="3">
        <f t="shared" si="1"/>
        <v>9</v>
      </c>
      <c r="D58" t="s">
        <v>189</v>
      </c>
    </row>
    <row r="59" spans="2:4">
      <c r="B59" s="4">
        <f t="shared" si="0"/>
        <v>44580</v>
      </c>
      <c r="C59" s="3">
        <f t="shared" si="1"/>
        <v>9</v>
      </c>
      <c r="D59" t="s">
        <v>190</v>
      </c>
    </row>
    <row r="60" spans="2:4">
      <c r="B60" s="4">
        <f t="shared" si="0"/>
        <v>44581</v>
      </c>
      <c r="C60" s="3">
        <f t="shared" si="1"/>
        <v>9</v>
      </c>
      <c r="D60" t="s">
        <v>191</v>
      </c>
    </row>
    <row r="61" spans="2:4">
      <c r="B61" s="4">
        <f t="shared" si="0"/>
        <v>44582</v>
      </c>
      <c r="C61" s="3">
        <f t="shared" si="1"/>
        <v>9</v>
      </c>
      <c r="D61" t="s">
        <v>192</v>
      </c>
    </row>
    <row r="62" spans="2:4">
      <c r="B62" s="4">
        <f t="shared" si="0"/>
        <v>44583</v>
      </c>
      <c r="C62" s="3">
        <f t="shared" si="1"/>
        <v>9</v>
      </c>
      <c r="D62" t="s">
        <v>193</v>
      </c>
    </row>
    <row r="63" spans="2:4">
      <c r="B63" s="4">
        <f t="shared" si="0"/>
        <v>44584</v>
      </c>
      <c r="C63" s="3">
        <f t="shared" si="1"/>
        <v>9</v>
      </c>
      <c r="D63" t="s">
        <v>194</v>
      </c>
    </row>
    <row r="64" spans="2:4">
      <c r="B64" s="4">
        <f t="shared" si="0"/>
        <v>44585</v>
      </c>
      <c r="C64" s="3">
        <f t="shared" si="1"/>
        <v>10</v>
      </c>
      <c r="D64" t="s">
        <v>188</v>
      </c>
    </row>
    <row r="65" spans="2:4">
      <c r="B65" s="4">
        <f t="shared" si="0"/>
        <v>44586</v>
      </c>
      <c r="C65" s="3">
        <f t="shared" si="1"/>
        <v>10</v>
      </c>
      <c r="D65" t="s">
        <v>189</v>
      </c>
    </row>
    <row r="66" spans="2:4">
      <c r="B66" s="4">
        <f t="shared" si="0"/>
        <v>44587</v>
      </c>
      <c r="C66" s="3">
        <f t="shared" si="1"/>
        <v>10</v>
      </c>
      <c r="D66" t="s">
        <v>190</v>
      </c>
    </row>
    <row r="67" spans="2:4">
      <c r="B67" s="4">
        <f t="shared" ref="B67:B130" si="2">B66+1</f>
        <v>44588</v>
      </c>
      <c r="C67" s="3">
        <f t="shared" si="1"/>
        <v>10</v>
      </c>
      <c r="D67" t="s">
        <v>191</v>
      </c>
    </row>
    <row r="68" spans="2:4">
      <c r="B68" s="4">
        <f t="shared" si="2"/>
        <v>44589</v>
      </c>
      <c r="C68" s="3">
        <f t="shared" si="1"/>
        <v>10</v>
      </c>
      <c r="D68" t="s">
        <v>192</v>
      </c>
    </row>
    <row r="69" spans="2:4">
      <c r="B69" s="4">
        <f t="shared" si="2"/>
        <v>44590</v>
      </c>
      <c r="C69" s="3">
        <f t="shared" si="1"/>
        <v>10</v>
      </c>
      <c r="D69" t="s">
        <v>193</v>
      </c>
    </row>
    <row r="70" spans="2:4">
      <c r="B70" s="4">
        <f t="shared" si="2"/>
        <v>44591</v>
      </c>
      <c r="C70" s="3">
        <f t="shared" si="1"/>
        <v>10</v>
      </c>
      <c r="D70" t="s">
        <v>194</v>
      </c>
    </row>
    <row r="71" spans="2:4">
      <c r="B71" s="4">
        <f t="shared" si="2"/>
        <v>44592</v>
      </c>
      <c r="C71" s="3">
        <f t="shared" si="1"/>
        <v>11</v>
      </c>
      <c r="D71" t="s">
        <v>188</v>
      </c>
    </row>
    <row r="72" spans="2:4">
      <c r="B72" s="4">
        <f t="shared" si="2"/>
        <v>44593</v>
      </c>
      <c r="C72" s="3">
        <f t="shared" si="1"/>
        <v>11</v>
      </c>
      <c r="D72" t="s">
        <v>189</v>
      </c>
    </row>
    <row r="73" spans="2:4">
      <c r="B73" s="4">
        <f t="shared" si="2"/>
        <v>44594</v>
      </c>
      <c r="C73" s="3">
        <f t="shared" ref="C73:C136" si="3">C66+1</f>
        <v>11</v>
      </c>
      <c r="D73" t="s">
        <v>190</v>
      </c>
    </row>
    <row r="74" spans="2:4">
      <c r="B74" s="4">
        <f t="shared" si="2"/>
        <v>44595</v>
      </c>
      <c r="C74" s="3">
        <f t="shared" si="3"/>
        <v>11</v>
      </c>
      <c r="D74" t="s">
        <v>191</v>
      </c>
    </row>
    <row r="75" spans="2:4">
      <c r="B75" s="4">
        <f t="shared" si="2"/>
        <v>44596</v>
      </c>
      <c r="C75" s="3">
        <f t="shared" si="3"/>
        <v>11</v>
      </c>
      <c r="D75" t="s">
        <v>192</v>
      </c>
    </row>
    <row r="76" spans="2:4">
      <c r="B76" s="4">
        <f t="shared" si="2"/>
        <v>44597</v>
      </c>
      <c r="C76" s="3">
        <f t="shared" si="3"/>
        <v>11</v>
      </c>
      <c r="D76" t="s">
        <v>193</v>
      </c>
    </row>
    <row r="77" spans="2:4">
      <c r="B77" s="4">
        <f t="shared" si="2"/>
        <v>44598</v>
      </c>
      <c r="C77" s="3">
        <f t="shared" si="3"/>
        <v>11</v>
      </c>
      <c r="D77" t="s">
        <v>194</v>
      </c>
    </row>
    <row r="78" spans="2:4">
      <c r="B78" s="4">
        <f t="shared" si="2"/>
        <v>44599</v>
      </c>
      <c r="C78" s="3">
        <f t="shared" si="3"/>
        <v>12</v>
      </c>
      <c r="D78" t="s">
        <v>188</v>
      </c>
    </row>
    <row r="79" spans="2:4">
      <c r="B79" s="4">
        <f t="shared" si="2"/>
        <v>44600</v>
      </c>
      <c r="C79" s="3">
        <f t="shared" si="3"/>
        <v>12</v>
      </c>
      <c r="D79" t="s">
        <v>189</v>
      </c>
    </row>
    <row r="80" spans="2:4">
      <c r="B80" s="4">
        <f t="shared" si="2"/>
        <v>44601</v>
      </c>
      <c r="C80" s="3">
        <f t="shared" si="3"/>
        <v>12</v>
      </c>
      <c r="D80" t="s">
        <v>190</v>
      </c>
    </row>
    <row r="81" spans="2:4">
      <c r="B81" s="4">
        <f t="shared" si="2"/>
        <v>44602</v>
      </c>
      <c r="C81" s="3">
        <f t="shared" si="3"/>
        <v>12</v>
      </c>
      <c r="D81" t="s">
        <v>191</v>
      </c>
    </row>
    <row r="82" spans="2:4">
      <c r="B82" s="4">
        <f t="shared" si="2"/>
        <v>44603</v>
      </c>
      <c r="C82" s="3">
        <f t="shared" si="3"/>
        <v>12</v>
      </c>
      <c r="D82" t="s">
        <v>192</v>
      </c>
    </row>
    <row r="83" spans="2:4">
      <c r="B83" s="4">
        <f t="shared" si="2"/>
        <v>44604</v>
      </c>
      <c r="C83" s="3">
        <f t="shared" si="3"/>
        <v>12</v>
      </c>
      <c r="D83" t="s">
        <v>193</v>
      </c>
    </row>
    <row r="84" spans="2:4">
      <c r="B84" s="4">
        <f t="shared" si="2"/>
        <v>44605</v>
      </c>
      <c r="C84" s="3">
        <f t="shared" si="3"/>
        <v>12</v>
      </c>
      <c r="D84" t="s">
        <v>194</v>
      </c>
    </row>
    <row r="85" spans="2:4">
      <c r="B85" s="4">
        <f t="shared" si="2"/>
        <v>44606</v>
      </c>
      <c r="C85" s="3">
        <f t="shared" si="3"/>
        <v>13</v>
      </c>
      <c r="D85" t="s">
        <v>188</v>
      </c>
    </row>
    <row r="86" spans="2:4">
      <c r="B86" s="4">
        <f t="shared" si="2"/>
        <v>44607</v>
      </c>
      <c r="C86" s="3">
        <f t="shared" si="3"/>
        <v>13</v>
      </c>
      <c r="D86" t="s">
        <v>189</v>
      </c>
    </row>
    <row r="87" spans="2:4">
      <c r="B87" s="4">
        <f t="shared" si="2"/>
        <v>44608</v>
      </c>
      <c r="C87" s="3">
        <f t="shared" si="3"/>
        <v>13</v>
      </c>
      <c r="D87" t="s">
        <v>190</v>
      </c>
    </row>
    <row r="88" spans="2:4">
      <c r="B88" s="4">
        <f t="shared" si="2"/>
        <v>44609</v>
      </c>
      <c r="C88" s="3">
        <f t="shared" si="3"/>
        <v>13</v>
      </c>
      <c r="D88" t="s">
        <v>191</v>
      </c>
    </row>
    <row r="89" spans="2:4">
      <c r="B89" s="4">
        <f t="shared" si="2"/>
        <v>44610</v>
      </c>
      <c r="C89" s="3">
        <f t="shared" si="3"/>
        <v>13</v>
      </c>
      <c r="D89" t="s">
        <v>192</v>
      </c>
    </row>
    <row r="90" spans="2:4">
      <c r="B90" s="4">
        <f t="shared" si="2"/>
        <v>44611</v>
      </c>
      <c r="C90" s="3">
        <f t="shared" si="3"/>
        <v>13</v>
      </c>
      <c r="D90" t="s">
        <v>193</v>
      </c>
    </row>
    <row r="91" spans="2:4">
      <c r="B91" s="4">
        <f t="shared" si="2"/>
        <v>44612</v>
      </c>
      <c r="C91" s="3">
        <f t="shared" si="3"/>
        <v>13</v>
      </c>
      <c r="D91" t="s">
        <v>194</v>
      </c>
    </row>
    <row r="92" spans="2:4">
      <c r="B92" s="4">
        <f t="shared" si="2"/>
        <v>44613</v>
      </c>
      <c r="C92" s="3">
        <f t="shared" si="3"/>
        <v>14</v>
      </c>
      <c r="D92" t="s">
        <v>188</v>
      </c>
    </row>
    <row r="93" spans="2:4">
      <c r="B93" s="4">
        <f t="shared" si="2"/>
        <v>44614</v>
      </c>
      <c r="C93" s="3">
        <f t="shared" si="3"/>
        <v>14</v>
      </c>
      <c r="D93" t="s">
        <v>189</v>
      </c>
    </row>
    <row r="94" spans="2:4">
      <c r="B94" s="4">
        <f t="shared" si="2"/>
        <v>44615</v>
      </c>
      <c r="C94" s="3">
        <f t="shared" si="3"/>
        <v>14</v>
      </c>
      <c r="D94" t="s">
        <v>190</v>
      </c>
    </row>
    <row r="95" spans="2:4">
      <c r="B95" s="4">
        <f t="shared" si="2"/>
        <v>44616</v>
      </c>
      <c r="C95" s="3">
        <f t="shared" si="3"/>
        <v>14</v>
      </c>
      <c r="D95" t="s">
        <v>191</v>
      </c>
    </row>
    <row r="96" spans="2:4">
      <c r="B96" s="4">
        <f t="shared" si="2"/>
        <v>44617</v>
      </c>
      <c r="C96" s="3">
        <f t="shared" si="3"/>
        <v>14</v>
      </c>
      <c r="D96" t="s">
        <v>192</v>
      </c>
    </row>
    <row r="97" spans="2:4">
      <c r="B97" s="4">
        <f t="shared" si="2"/>
        <v>44618</v>
      </c>
      <c r="C97" s="3">
        <f t="shared" si="3"/>
        <v>14</v>
      </c>
      <c r="D97" t="s">
        <v>193</v>
      </c>
    </row>
    <row r="98" spans="2:4">
      <c r="B98" s="4">
        <f t="shared" si="2"/>
        <v>44619</v>
      </c>
      <c r="C98" s="3">
        <f t="shared" si="3"/>
        <v>14</v>
      </c>
      <c r="D98" t="s">
        <v>194</v>
      </c>
    </row>
    <row r="99" spans="2:4">
      <c r="B99" s="4">
        <f t="shared" si="2"/>
        <v>44620</v>
      </c>
      <c r="C99" s="3">
        <f t="shared" si="3"/>
        <v>15</v>
      </c>
      <c r="D99" t="s">
        <v>188</v>
      </c>
    </row>
    <row r="100" spans="2:4">
      <c r="B100" s="4">
        <f t="shared" si="2"/>
        <v>44621</v>
      </c>
      <c r="C100" s="3">
        <f t="shared" si="3"/>
        <v>15</v>
      </c>
      <c r="D100" t="s">
        <v>189</v>
      </c>
    </row>
    <row r="101" spans="2:4">
      <c r="B101" s="4">
        <f t="shared" si="2"/>
        <v>44622</v>
      </c>
      <c r="C101" s="3">
        <f t="shared" si="3"/>
        <v>15</v>
      </c>
      <c r="D101" t="s">
        <v>190</v>
      </c>
    </row>
    <row r="102" spans="2:4">
      <c r="B102" s="4">
        <f t="shared" si="2"/>
        <v>44623</v>
      </c>
      <c r="C102" s="3">
        <f t="shared" si="3"/>
        <v>15</v>
      </c>
      <c r="D102" t="s">
        <v>191</v>
      </c>
    </row>
    <row r="103" spans="2:4">
      <c r="B103" s="4">
        <f t="shared" si="2"/>
        <v>44624</v>
      </c>
      <c r="C103" s="3">
        <f t="shared" si="3"/>
        <v>15</v>
      </c>
      <c r="D103" t="s">
        <v>192</v>
      </c>
    </row>
    <row r="104" spans="2:4">
      <c r="B104" s="4">
        <f t="shared" si="2"/>
        <v>44625</v>
      </c>
      <c r="C104" s="3">
        <f t="shared" si="3"/>
        <v>15</v>
      </c>
      <c r="D104" t="s">
        <v>193</v>
      </c>
    </row>
    <row r="105" spans="2:4">
      <c r="B105" s="4">
        <f t="shared" si="2"/>
        <v>44626</v>
      </c>
      <c r="C105" s="3">
        <f t="shared" si="3"/>
        <v>15</v>
      </c>
      <c r="D105" t="s">
        <v>194</v>
      </c>
    </row>
    <row r="106" spans="2:4">
      <c r="B106" s="4">
        <f t="shared" si="2"/>
        <v>44627</v>
      </c>
      <c r="C106" s="3">
        <f t="shared" si="3"/>
        <v>16</v>
      </c>
      <c r="D106" t="s">
        <v>188</v>
      </c>
    </row>
    <row r="107" spans="2:4">
      <c r="B107" s="4">
        <f t="shared" si="2"/>
        <v>44628</v>
      </c>
      <c r="C107" s="3">
        <f t="shared" si="3"/>
        <v>16</v>
      </c>
      <c r="D107" t="s">
        <v>189</v>
      </c>
    </row>
    <row r="108" spans="2:4">
      <c r="B108" s="4">
        <f t="shared" si="2"/>
        <v>44629</v>
      </c>
      <c r="C108" s="3">
        <f t="shared" si="3"/>
        <v>16</v>
      </c>
      <c r="D108" t="s">
        <v>190</v>
      </c>
    </row>
    <row r="109" spans="2:4">
      <c r="B109" s="4">
        <f t="shared" si="2"/>
        <v>44630</v>
      </c>
      <c r="C109" s="3">
        <f t="shared" si="3"/>
        <v>16</v>
      </c>
      <c r="D109" t="s">
        <v>191</v>
      </c>
    </row>
    <row r="110" spans="2:4">
      <c r="B110" s="4">
        <f t="shared" si="2"/>
        <v>44631</v>
      </c>
      <c r="C110" s="3">
        <f t="shared" si="3"/>
        <v>16</v>
      </c>
      <c r="D110" t="s">
        <v>192</v>
      </c>
    </row>
    <row r="111" spans="2:4">
      <c r="B111" s="4">
        <f t="shared" si="2"/>
        <v>44632</v>
      </c>
      <c r="C111" s="3">
        <f t="shared" si="3"/>
        <v>16</v>
      </c>
      <c r="D111" t="s">
        <v>193</v>
      </c>
    </row>
    <row r="112" spans="2:4">
      <c r="B112" s="4">
        <f t="shared" si="2"/>
        <v>44633</v>
      </c>
      <c r="C112" s="3">
        <f t="shared" si="3"/>
        <v>16</v>
      </c>
      <c r="D112" t="s">
        <v>194</v>
      </c>
    </row>
    <row r="113" spans="2:4">
      <c r="B113" s="4">
        <f t="shared" si="2"/>
        <v>44634</v>
      </c>
      <c r="C113" s="3">
        <f t="shared" si="3"/>
        <v>17</v>
      </c>
      <c r="D113" t="s">
        <v>188</v>
      </c>
    </row>
    <row r="114" spans="2:4">
      <c r="B114" s="4">
        <f t="shared" si="2"/>
        <v>44635</v>
      </c>
      <c r="C114" s="3">
        <f t="shared" si="3"/>
        <v>17</v>
      </c>
      <c r="D114" t="s">
        <v>189</v>
      </c>
    </row>
    <row r="115" spans="2:4">
      <c r="B115" s="4">
        <f t="shared" si="2"/>
        <v>44636</v>
      </c>
      <c r="C115" s="3">
        <f t="shared" si="3"/>
        <v>17</v>
      </c>
      <c r="D115" t="s">
        <v>190</v>
      </c>
    </row>
    <row r="116" spans="2:4">
      <c r="B116" s="4">
        <f t="shared" si="2"/>
        <v>44637</v>
      </c>
      <c r="C116" s="3">
        <f t="shared" si="3"/>
        <v>17</v>
      </c>
      <c r="D116" t="s">
        <v>191</v>
      </c>
    </row>
    <row r="117" spans="2:4">
      <c r="B117" s="4">
        <f t="shared" si="2"/>
        <v>44638</v>
      </c>
      <c r="C117" s="3">
        <f t="shared" si="3"/>
        <v>17</v>
      </c>
      <c r="D117" t="s">
        <v>192</v>
      </c>
    </row>
    <row r="118" spans="2:4">
      <c r="B118" s="4">
        <f t="shared" si="2"/>
        <v>44639</v>
      </c>
      <c r="C118" s="3">
        <f t="shared" si="3"/>
        <v>17</v>
      </c>
      <c r="D118" t="s">
        <v>193</v>
      </c>
    </row>
    <row r="119" spans="2:4">
      <c r="B119" s="4">
        <f t="shared" si="2"/>
        <v>44640</v>
      </c>
      <c r="C119" s="3">
        <f t="shared" si="3"/>
        <v>17</v>
      </c>
      <c r="D119" t="s">
        <v>194</v>
      </c>
    </row>
    <row r="120" spans="2:4">
      <c r="B120" s="4">
        <f t="shared" si="2"/>
        <v>44641</v>
      </c>
      <c r="C120" s="3">
        <f t="shared" si="3"/>
        <v>18</v>
      </c>
      <c r="D120" t="s">
        <v>188</v>
      </c>
    </row>
    <row r="121" spans="2:4">
      <c r="B121" s="4">
        <f t="shared" si="2"/>
        <v>44642</v>
      </c>
      <c r="C121" s="3">
        <f t="shared" si="3"/>
        <v>18</v>
      </c>
      <c r="D121" t="s">
        <v>189</v>
      </c>
    </row>
    <row r="122" spans="2:4">
      <c r="B122" s="4">
        <f t="shared" si="2"/>
        <v>44643</v>
      </c>
      <c r="C122" s="3">
        <f t="shared" si="3"/>
        <v>18</v>
      </c>
      <c r="D122" t="s">
        <v>190</v>
      </c>
    </row>
    <row r="123" spans="2:4">
      <c r="B123" s="4">
        <f t="shared" si="2"/>
        <v>44644</v>
      </c>
      <c r="C123" s="3">
        <f t="shared" si="3"/>
        <v>18</v>
      </c>
      <c r="D123" t="s">
        <v>191</v>
      </c>
    </row>
    <row r="124" spans="2:4">
      <c r="B124" s="4">
        <f t="shared" si="2"/>
        <v>44645</v>
      </c>
      <c r="C124" s="3">
        <f t="shared" si="3"/>
        <v>18</v>
      </c>
      <c r="D124" t="s">
        <v>192</v>
      </c>
    </row>
    <row r="125" spans="2:4">
      <c r="B125" s="4">
        <f t="shared" si="2"/>
        <v>44646</v>
      </c>
      <c r="C125" s="3">
        <f t="shared" si="3"/>
        <v>18</v>
      </c>
      <c r="D125" t="s">
        <v>193</v>
      </c>
    </row>
    <row r="126" spans="2:4">
      <c r="B126" s="4">
        <f t="shared" si="2"/>
        <v>44647</v>
      </c>
      <c r="C126" s="3">
        <f t="shared" si="3"/>
        <v>18</v>
      </c>
      <c r="D126" t="s">
        <v>194</v>
      </c>
    </row>
    <row r="127" spans="2:4">
      <c r="B127" s="4">
        <f t="shared" si="2"/>
        <v>44648</v>
      </c>
      <c r="C127" s="3">
        <f t="shared" si="3"/>
        <v>19</v>
      </c>
      <c r="D127" t="s">
        <v>188</v>
      </c>
    </row>
    <row r="128" spans="2:4">
      <c r="B128" s="4">
        <f t="shared" si="2"/>
        <v>44649</v>
      </c>
      <c r="C128" s="3">
        <f t="shared" si="3"/>
        <v>19</v>
      </c>
      <c r="D128" t="s">
        <v>189</v>
      </c>
    </row>
    <row r="129" spans="2:4">
      <c r="B129" s="4">
        <f t="shared" si="2"/>
        <v>44650</v>
      </c>
      <c r="C129" s="3">
        <f t="shared" si="3"/>
        <v>19</v>
      </c>
      <c r="D129" t="s">
        <v>190</v>
      </c>
    </row>
    <row r="130" spans="2:4">
      <c r="B130" s="4">
        <f t="shared" si="2"/>
        <v>44651</v>
      </c>
      <c r="C130" s="3">
        <f t="shared" si="3"/>
        <v>19</v>
      </c>
      <c r="D130" t="s">
        <v>191</v>
      </c>
    </row>
    <row r="131" spans="2:4">
      <c r="B131" s="4">
        <f t="shared" ref="B131:B194" si="4">B130+1</f>
        <v>44652</v>
      </c>
      <c r="C131" s="3">
        <f t="shared" si="3"/>
        <v>19</v>
      </c>
      <c r="D131" t="s">
        <v>192</v>
      </c>
    </row>
    <row r="132" spans="2:4">
      <c r="B132" s="4">
        <f t="shared" si="4"/>
        <v>44653</v>
      </c>
      <c r="C132" s="3">
        <f t="shared" si="3"/>
        <v>19</v>
      </c>
      <c r="D132" t="s">
        <v>193</v>
      </c>
    </row>
    <row r="133" spans="2:4">
      <c r="B133" s="4">
        <f t="shared" si="4"/>
        <v>44654</v>
      </c>
      <c r="C133" s="3">
        <f t="shared" si="3"/>
        <v>19</v>
      </c>
      <c r="D133" t="s">
        <v>194</v>
      </c>
    </row>
    <row r="134" spans="2:4">
      <c r="B134" s="4">
        <f t="shared" si="4"/>
        <v>44655</v>
      </c>
      <c r="C134" s="3">
        <f t="shared" si="3"/>
        <v>20</v>
      </c>
      <c r="D134" t="s">
        <v>188</v>
      </c>
    </row>
    <row r="135" spans="2:4">
      <c r="B135" s="4">
        <f t="shared" si="4"/>
        <v>44656</v>
      </c>
      <c r="C135" s="3">
        <f t="shared" si="3"/>
        <v>20</v>
      </c>
      <c r="D135" t="s">
        <v>189</v>
      </c>
    </row>
    <row r="136" spans="2:4">
      <c r="B136" s="4">
        <f t="shared" si="4"/>
        <v>44657</v>
      </c>
      <c r="C136" s="3">
        <f t="shared" si="3"/>
        <v>20</v>
      </c>
      <c r="D136" t="s">
        <v>190</v>
      </c>
    </row>
    <row r="137" spans="2:4">
      <c r="B137" s="4">
        <f t="shared" si="4"/>
        <v>44658</v>
      </c>
      <c r="C137" s="3">
        <f t="shared" ref="C137:C200" si="5">C130+1</f>
        <v>20</v>
      </c>
      <c r="D137" t="s">
        <v>191</v>
      </c>
    </row>
    <row r="138" spans="2:4">
      <c r="B138" s="4">
        <f t="shared" si="4"/>
        <v>44659</v>
      </c>
      <c r="C138" s="3">
        <f t="shared" si="5"/>
        <v>20</v>
      </c>
      <c r="D138" t="s">
        <v>192</v>
      </c>
    </row>
    <row r="139" spans="2:4">
      <c r="B139" s="4">
        <f t="shared" si="4"/>
        <v>44660</v>
      </c>
      <c r="C139" s="3">
        <f t="shared" si="5"/>
        <v>20</v>
      </c>
      <c r="D139" t="s">
        <v>193</v>
      </c>
    </row>
    <row r="140" spans="2:4">
      <c r="B140" s="4">
        <f t="shared" si="4"/>
        <v>44661</v>
      </c>
      <c r="C140" s="3">
        <f t="shared" si="5"/>
        <v>20</v>
      </c>
      <c r="D140" t="s">
        <v>194</v>
      </c>
    </row>
    <row r="141" spans="2:4">
      <c r="B141" s="4">
        <f t="shared" si="4"/>
        <v>44662</v>
      </c>
      <c r="C141" s="3">
        <f t="shared" si="5"/>
        <v>21</v>
      </c>
      <c r="D141" t="s">
        <v>188</v>
      </c>
    </row>
    <row r="142" spans="2:4">
      <c r="B142" s="4">
        <f t="shared" si="4"/>
        <v>44663</v>
      </c>
      <c r="C142" s="3">
        <f t="shared" si="5"/>
        <v>21</v>
      </c>
      <c r="D142" t="s">
        <v>189</v>
      </c>
    </row>
    <row r="143" spans="2:4">
      <c r="B143" s="4">
        <f t="shared" si="4"/>
        <v>44664</v>
      </c>
      <c r="C143" s="3">
        <f t="shared" si="5"/>
        <v>21</v>
      </c>
      <c r="D143" t="s">
        <v>190</v>
      </c>
    </row>
    <row r="144" spans="2:4">
      <c r="B144" s="4">
        <f t="shared" si="4"/>
        <v>44665</v>
      </c>
      <c r="C144" s="3">
        <f t="shared" si="5"/>
        <v>21</v>
      </c>
      <c r="D144" t="s">
        <v>191</v>
      </c>
    </row>
    <row r="145" spans="2:4">
      <c r="B145" s="4">
        <f t="shared" si="4"/>
        <v>44666</v>
      </c>
      <c r="C145" s="3">
        <f t="shared" si="5"/>
        <v>21</v>
      </c>
      <c r="D145" t="s">
        <v>192</v>
      </c>
    </row>
    <row r="146" spans="2:4">
      <c r="B146" s="4">
        <f t="shared" si="4"/>
        <v>44667</v>
      </c>
      <c r="C146" s="3">
        <f t="shared" si="5"/>
        <v>21</v>
      </c>
      <c r="D146" t="s">
        <v>193</v>
      </c>
    </row>
    <row r="147" spans="2:4">
      <c r="B147" s="4">
        <f t="shared" si="4"/>
        <v>44668</v>
      </c>
      <c r="C147" s="3">
        <f t="shared" si="5"/>
        <v>21</v>
      </c>
      <c r="D147" t="s">
        <v>194</v>
      </c>
    </row>
    <row r="148" spans="2:4">
      <c r="B148" s="4">
        <f t="shared" si="4"/>
        <v>44669</v>
      </c>
      <c r="C148" s="3">
        <f t="shared" si="5"/>
        <v>22</v>
      </c>
      <c r="D148" t="s">
        <v>188</v>
      </c>
    </row>
    <row r="149" spans="2:4">
      <c r="B149" s="4">
        <f t="shared" si="4"/>
        <v>44670</v>
      </c>
      <c r="C149" s="3">
        <f t="shared" si="5"/>
        <v>22</v>
      </c>
      <c r="D149" t="s">
        <v>189</v>
      </c>
    </row>
    <row r="150" spans="2:4">
      <c r="B150" s="4">
        <f t="shared" si="4"/>
        <v>44671</v>
      </c>
      <c r="C150" s="3">
        <f t="shared" si="5"/>
        <v>22</v>
      </c>
      <c r="D150" t="s">
        <v>190</v>
      </c>
    </row>
    <row r="151" spans="2:4">
      <c r="B151" s="4">
        <f t="shared" si="4"/>
        <v>44672</v>
      </c>
      <c r="C151" s="3">
        <f t="shared" si="5"/>
        <v>22</v>
      </c>
      <c r="D151" t="s">
        <v>191</v>
      </c>
    </row>
    <row r="152" spans="2:4">
      <c r="B152" s="4">
        <f t="shared" si="4"/>
        <v>44673</v>
      </c>
      <c r="C152" s="3">
        <f t="shared" si="5"/>
        <v>22</v>
      </c>
      <c r="D152" t="s">
        <v>192</v>
      </c>
    </row>
    <row r="153" spans="2:4">
      <c r="B153" s="4">
        <f t="shared" si="4"/>
        <v>44674</v>
      </c>
      <c r="C153" s="3">
        <f t="shared" si="5"/>
        <v>22</v>
      </c>
      <c r="D153" t="s">
        <v>193</v>
      </c>
    </row>
    <row r="154" spans="2:4">
      <c r="B154" s="4">
        <f t="shared" si="4"/>
        <v>44675</v>
      </c>
      <c r="C154" s="3">
        <f t="shared" si="5"/>
        <v>22</v>
      </c>
      <c r="D154" t="s">
        <v>194</v>
      </c>
    </row>
    <row r="155" spans="2:4">
      <c r="B155" s="4">
        <f t="shared" si="4"/>
        <v>44676</v>
      </c>
      <c r="C155" s="3">
        <f t="shared" si="5"/>
        <v>23</v>
      </c>
      <c r="D155" t="s">
        <v>188</v>
      </c>
    </row>
    <row r="156" spans="2:4">
      <c r="B156" s="4">
        <f t="shared" si="4"/>
        <v>44677</v>
      </c>
      <c r="C156" s="3">
        <f t="shared" si="5"/>
        <v>23</v>
      </c>
      <c r="D156" t="s">
        <v>189</v>
      </c>
    </row>
    <row r="157" spans="2:4">
      <c r="B157" s="4">
        <f t="shared" si="4"/>
        <v>44678</v>
      </c>
      <c r="C157" s="3">
        <f t="shared" si="5"/>
        <v>23</v>
      </c>
      <c r="D157" t="s">
        <v>190</v>
      </c>
    </row>
    <row r="158" spans="2:4">
      <c r="B158" s="4">
        <f t="shared" si="4"/>
        <v>44679</v>
      </c>
      <c r="C158" s="3">
        <f t="shared" si="5"/>
        <v>23</v>
      </c>
      <c r="D158" t="s">
        <v>191</v>
      </c>
    </row>
    <row r="159" spans="2:4">
      <c r="B159" s="4">
        <f t="shared" si="4"/>
        <v>44680</v>
      </c>
      <c r="C159" s="3">
        <f t="shared" si="5"/>
        <v>23</v>
      </c>
      <c r="D159" t="s">
        <v>192</v>
      </c>
    </row>
    <row r="160" spans="2:4">
      <c r="B160" s="4">
        <f t="shared" si="4"/>
        <v>44681</v>
      </c>
      <c r="C160" s="3">
        <f t="shared" si="5"/>
        <v>23</v>
      </c>
      <c r="D160" t="s">
        <v>193</v>
      </c>
    </row>
    <row r="161" spans="2:4">
      <c r="B161" s="4">
        <f t="shared" si="4"/>
        <v>44682</v>
      </c>
      <c r="C161" s="3">
        <f t="shared" si="5"/>
        <v>23</v>
      </c>
      <c r="D161" t="s">
        <v>194</v>
      </c>
    </row>
    <row r="162" spans="2:4">
      <c r="B162" s="4">
        <f t="shared" si="4"/>
        <v>44683</v>
      </c>
      <c r="C162" s="3">
        <f t="shared" si="5"/>
        <v>24</v>
      </c>
      <c r="D162" t="s">
        <v>188</v>
      </c>
    </row>
    <row r="163" spans="2:4">
      <c r="B163" s="4">
        <f t="shared" si="4"/>
        <v>44684</v>
      </c>
      <c r="C163" s="3">
        <f t="shared" si="5"/>
        <v>24</v>
      </c>
      <c r="D163" t="s">
        <v>189</v>
      </c>
    </row>
    <row r="164" spans="2:4">
      <c r="B164" s="4">
        <f t="shared" si="4"/>
        <v>44685</v>
      </c>
      <c r="C164" s="3">
        <f t="shared" si="5"/>
        <v>24</v>
      </c>
      <c r="D164" t="s">
        <v>190</v>
      </c>
    </row>
    <row r="165" spans="2:4">
      <c r="B165" s="4">
        <f t="shared" si="4"/>
        <v>44686</v>
      </c>
      <c r="C165" s="3">
        <f t="shared" si="5"/>
        <v>24</v>
      </c>
      <c r="D165" t="s">
        <v>191</v>
      </c>
    </row>
    <row r="166" spans="2:4">
      <c r="B166" s="4">
        <f t="shared" si="4"/>
        <v>44687</v>
      </c>
      <c r="C166" s="3">
        <f t="shared" si="5"/>
        <v>24</v>
      </c>
      <c r="D166" t="s">
        <v>192</v>
      </c>
    </row>
    <row r="167" spans="2:4">
      <c r="B167" s="4">
        <f t="shared" si="4"/>
        <v>44688</v>
      </c>
      <c r="C167" s="3">
        <f t="shared" si="5"/>
        <v>24</v>
      </c>
      <c r="D167" t="s">
        <v>193</v>
      </c>
    </row>
    <row r="168" spans="2:4">
      <c r="B168" s="4">
        <f t="shared" si="4"/>
        <v>44689</v>
      </c>
      <c r="C168" s="3">
        <f t="shared" si="5"/>
        <v>24</v>
      </c>
      <c r="D168" t="s">
        <v>194</v>
      </c>
    </row>
    <row r="169" spans="2:4">
      <c r="B169" s="4">
        <f t="shared" si="4"/>
        <v>44690</v>
      </c>
      <c r="C169" s="3">
        <f t="shared" si="5"/>
        <v>25</v>
      </c>
      <c r="D169" t="s">
        <v>188</v>
      </c>
    </row>
    <row r="170" spans="2:4">
      <c r="B170" s="4">
        <f t="shared" si="4"/>
        <v>44691</v>
      </c>
      <c r="C170" s="3">
        <f t="shared" si="5"/>
        <v>25</v>
      </c>
      <c r="D170" t="s">
        <v>189</v>
      </c>
    </row>
    <row r="171" spans="2:4">
      <c r="B171" s="4">
        <f t="shared" si="4"/>
        <v>44692</v>
      </c>
      <c r="C171" s="3">
        <f t="shared" si="5"/>
        <v>25</v>
      </c>
      <c r="D171" t="s">
        <v>190</v>
      </c>
    </row>
    <row r="172" spans="2:4">
      <c r="B172" s="4">
        <f t="shared" si="4"/>
        <v>44693</v>
      </c>
      <c r="C172" s="3">
        <f t="shared" si="5"/>
        <v>25</v>
      </c>
      <c r="D172" t="s">
        <v>191</v>
      </c>
    </row>
    <row r="173" spans="2:4">
      <c r="B173" s="4">
        <f t="shared" si="4"/>
        <v>44694</v>
      </c>
      <c r="C173" s="3">
        <f t="shared" si="5"/>
        <v>25</v>
      </c>
      <c r="D173" t="s">
        <v>192</v>
      </c>
    </row>
    <row r="174" spans="2:4">
      <c r="B174" s="4">
        <f t="shared" si="4"/>
        <v>44695</v>
      </c>
      <c r="C174" s="3">
        <f t="shared" si="5"/>
        <v>25</v>
      </c>
      <c r="D174" t="s">
        <v>193</v>
      </c>
    </row>
    <row r="175" spans="2:4">
      <c r="B175" s="4">
        <f t="shared" si="4"/>
        <v>44696</v>
      </c>
      <c r="C175" s="3">
        <f t="shared" si="5"/>
        <v>25</v>
      </c>
      <c r="D175" t="s">
        <v>194</v>
      </c>
    </row>
    <row r="176" spans="2:4">
      <c r="B176" s="4">
        <f t="shared" si="4"/>
        <v>44697</v>
      </c>
      <c r="C176" s="3">
        <f t="shared" si="5"/>
        <v>26</v>
      </c>
      <c r="D176" t="s">
        <v>188</v>
      </c>
    </row>
    <row r="177" spans="2:4">
      <c r="B177" s="4">
        <f t="shared" si="4"/>
        <v>44698</v>
      </c>
      <c r="C177" s="3">
        <f t="shared" si="5"/>
        <v>26</v>
      </c>
      <c r="D177" t="s">
        <v>189</v>
      </c>
    </row>
    <row r="178" spans="2:4">
      <c r="B178" s="4">
        <f t="shared" si="4"/>
        <v>44699</v>
      </c>
      <c r="C178" s="3">
        <f t="shared" si="5"/>
        <v>26</v>
      </c>
      <c r="D178" t="s">
        <v>190</v>
      </c>
    </row>
    <row r="179" spans="2:4">
      <c r="B179" s="4">
        <f t="shared" si="4"/>
        <v>44700</v>
      </c>
      <c r="C179" s="3">
        <f t="shared" si="5"/>
        <v>26</v>
      </c>
      <c r="D179" t="s">
        <v>191</v>
      </c>
    </row>
    <row r="180" spans="2:4">
      <c r="B180" s="4">
        <f t="shared" si="4"/>
        <v>44701</v>
      </c>
      <c r="C180" s="3">
        <f t="shared" si="5"/>
        <v>26</v>
      </c>
      <c r="D180" t="s">
        <v>192</v>
      </c>
    </row>
    <row r="181" spans="2:4">
      <c r="B181" s="4">
        <f t="shared" si="4"/>
        <v>44702</v>
      </c>
      <c r="C181" s="3">
        <f t="shared" si="5"/>
        <v>26</v>
      </c>
      <c r="D181" t="s">
        <v>193</v>
      </c>
    </row>
    <row r="182" spans="2:4">
      <c r="B182" s="4">
        <f t="shared" si="4"/>
        <v>44703</v>
      </c>
      <c r="C182" s="3">
        <f t="shared" si="5"/>
        <v>26</v>
      </c>
      <c r="D182" t="s">
        <v>194</v>
      </c>
    </row>
    <row r="183" spans="2:4">
      <c r="B183" s="4">
        <f t="shared" si="4"/>
        <v>44704</v>
      </c>
      <c r="C183" s="3">
        <f t="shared" si="5"/>
        <v>27</v>
      </c>
      <c r="D183" t="s">
        <v>188</v>
      </c>
    </row>
    <row r="184" spans="2:4">
      <c r="B184" s="4">
        <f t="shared" si="4"/>
        <v>44705</v>
      </c>
      <c r="C184" s="3">
        <f t="shared" si="5"/>
        <v>27</v>
      </c>
      <c r="D184" t="s">
        <v>189</v>
      </c>
    </row>
    <row r="185" spans="2:4">
      <c r="B185" s="4">
        <f t="shared" si="4"/>
        <v>44706</v>
      </c>
      <c r="C185" s="3">
        <f t="shared" si="5"/>
        <v>27</v>
      </c>
      <c r="D185" t="s">
        <v>190</v>
      </c>
    </row>
    <row r="186" spans="2:4">
      <c r="B186" s="4">
        <f t="shared" si="4"/>
        <v>44707</v>
      </c>
      <c r="C186" s="3">
        <f t="shared" si="5"/>
        <v>27</v>
      </c>
      <c r="D186" t="s">
        <v>191</v>
      </c>
    </row>
    <row r="187" spans="2:4">
      <c r="B187" s="4">
        <f t="shared" si="4"/>
        <v>44708</v>
      </c>
      <c r="C187" s="3">
        <f t="shared" si="5"/>
        <v>27</v>
      </c>
      <c r="D187" t="s">
        <v>192</v>
      </c>
    </row>
    <row r="188" spans="2:4">
      <c r="B188" s="4">
        <f t="shared" si="4"/>
        <v>44709</v>
      </c>
      <c r="C188" s="3">
        <f t="shared" si="5"/>
        <v>27</v>
      </c>
      <c r="D188" t="s">
        <v>193</v>
      </c>
    </row>
    <row r="189" spans="2:4">
      <c r="B189" s="4">
        <f t="shared" si="4"/>
        <v>44710</v>
      </c>
      <c r="C189" s="3">
        <f t="shared" si="5"/>
        <v>27</v>
      </c>
      <c r="D189" t="s">
        <v>194</v>
      </c>
    </row>
    <row r="190" spans="2:4">
      <c r="B190" s="4">
        <f t="shared" si="4"/>
        <v>44711</v>
      </c>
      <c r="C190" s="3">
        <f t="shared" si="5"/>
        <v>28</v>
      </c>
      <c r="D190" t="s">
        <v>188</v>
      </c>
    </row>
    <row r="191" spans="2:4">
      <c r="B191" s="4">
        <f t="shared" si="4"/>
        <v>44712</v>
      </c>
      <c r="C191" s="3">
        <f t="shared" si="5"/>
        <v>28</v>
      </c>
      <c r="D191" t="s">
        <v>189</v>
      </c>
    </row>
    <row r="192" spans="2:4">
      <c r="B192" s="4">
        <f t="shared" si="4"/>
        <v>44713</v>
      </c>
      <c r="C192" s="3">
        <f t="shared" si="5"/>
        <v>28</v>
      </c>
      <c r="D192" t="s">
        <v>190</v>
      </c>
    </row>
    <row r="193" spans="2:4">
      <c r="B193" s="4">
        <f t="shared" si="4"/>
        <v>44714</v>
      </c>
      <c r="C193" s="3">
        <f t="shared" si="5"/>
        <v>28</v>
      </c>
      <c r="D193" t="s">
        <v>191</v>
      </c>
    </row>
    <row r="194" spans="2:4">
      <c r="B194" s="4">
        <f t="shared" si="4"/>
        <v>44715</v>
      </c>
      <c r="C194" s="3">
        <f t="shared" si="5"/>
        <v>28</v>
      </c>
      <c r="D194" t="s">
        <v>192</v>
      </c>
    </row>
    <row r="195" spans="2:4">
      <c r="B195" s="4">
        <f t="shared" ref="B195:B258" si="6">B194+1</f>
        <v>44716</v>
      </c>
      <c r="C195" s="3">
        <f t="shared" si="5"/>
        <v>28</v>
      </c>
      <c r="D195" t="s">
        <v>193</v>
      </c>
    </row>
    <row r="196" spans="2:4">
      <c r="B196" s="4">
        <f t="shared" si="6"/>
        <v>44717</v>
      </c>
      <c r="C196" s="3">
        <f t="shared" si="5"/>
        <v>28</v>
      </c>
      <c r="D196" t="s">
        <v>194</v>
      </c>
    </row>
    <row r="197" spans="2:4">
      <c r="B197" s="4">
        <f t="shared" si="6"/>
        <v>44718</v>
      </c>
      <c r="C197" s="3">
        <f t="shared" si="5"/>
        <v>29</v>
      </c>
      <c r="D197" t="s">
        <v>188</v>
      </c>
    </row>
    <row r="198" spans="2:4">
      <c r="B198" s="4">
        <f t="shared" si="6"/>
        <v>44719</v>
      </c>
      <c r="C198" s="3">
        <f t="shared" si="5"/>
        <v>29</v>
      </c>
      <c r="D198" t="s">
        <v>189</v>
      </c>
    </row>
    <row r="199" spans="2:4">
      <c r="B199" s="4">
        <f t="shared" si="6"/>
        <v>44720</v>
      </c>
      <c r="C199" s="3">
        <f t="shared" si="5"/>
        <v>29</v>
      </c>
      <c r="D199" t="s">
        <v>190</v>
      </c>
    </row>
    <row r="200" spans="2:4">
      <c r="B200" s="4">
        <f t="shared" si="6"/>
        <v>44721</v>
      </c>
      <c r="C200" s="3">
        <f t="shared" si="5"/>
        <v>29</v>
      </c>
      <c r="D200" t="s">
        <v>191</v>
      </c>
    </row>
    <row r="201" spans="2:4">
      <c r="B201" s="4">
        <f t="shared" si="6"/>
        <v>44722</v>
      </c>
      <c r="C201" s="3">
        <f t="shared" ref="C201:C264" si="7">C194+1</f>
        <v>29</v>
      </c>
      <c r="D201" t="s">
        <v>192</v>
      </c>
    </row>
    <row r="202" spans="2:4">
      <c r="B202" s="4">
        <f t="shared" si="6"/>
        <v>44723</v>
      </c>
      <c r="C202" s="3">
        <f t="shared" si="7"/>
        <v>29</v>
      </c>
      <c r="D202" t="s">
        <v>193</v>
      </c>
    </row>
    <row r="203" spans="2:4">
      <c r="B203" s="4">
        <f t="shared" si="6"/>
        <v>44724</v>
      </c>
      <c r="C203" s="3">
        <f t="shared" si="7"/>
        <v>29</v>
      </c>
      <c r="D203" t="s">
        <v>194</v>
      </c>
    </row>
    <row r="204" spans="2:4">
      <c r="B204" s="4">
        <f t="shared" si="6"/>
        <v>44725</v>
      </c>
      <c r="C204" s="3">
        <f t="shared" si="7"/>
        <v>30</v>
      </c>
      <c r="D204" t="s">
        <v>188</v>
      </c>
    </row>
    <row r="205" spans="2:4">
      <c r="B205" s="4">
        <f t="shared" si="6"/>
        <v>44726</v>
      </c>
      <c r="C205" s="3">
        <f t="shared" si="7"/>
        <v>30</v>
      </c>
      <c r="D205" t="s">
        <v>189</v>
      </c>
    </row>
    <row r="206" spans="2:4">
      <c r="B206" s="4">
        <f t="shared" si="6"/>
        <v>44727</v>
      </c>
      <c r="C206" s="3">
        <f t="shared" si="7"/>
        <v>30</v>
      </c>
      <c r="D206" t="s">
        <v>190</v>
      </c>
    </row>
    <row r="207" spans="2:4">
      <c r="B207" s="4">
        <f t="shared" si="6"/>
        <v>44728</v>
      </c>
      <c r="C207" s="3">
        <f t="shared" si="7"/>
        <v>30</v>
      </c>
      <c r="D207" t="s">
        <v>191</v>
      </c>
    </row>
    <row r="208" spans="2:4">
      <c r="B208" s="4">
        <f t="shared" si="6"/>
        <v>44729</v>
      </c>
      <c r="C208" s="3">
        <f t="shared" si="7"/>
        <v>30</v>
      </c>
      <c r="D208" t="s">
        <v>192</v>
      </c>
    </row>
    <row r="209" spans="2:4">
      <c r="B209" s="4">
        <f t="shared" si="6"/>
        <v>44730</v>
      </c>
      <c r="C209" s="3">
        <f t="shared" si="7"/>
        <v>30</v>
      </c>
      <c r="D209" t="s">
        <v>193</v>
      </c>
    </row>
    <row r="210" spans="2:4">
      <c r="B210" s="4">
        <f t="shared" si="6"/>
        <v>44731</v>
      </c>
      <c r="C210" s="3">
        <f t="shared" si="7"/>
        <v>30</v>
      </c>
      <c r="D210" t="s">
        <v>194</v>
      </c>
    </row>
    <row r="211" spans="2:4">
      <c r="B211" s="4">
        <f t="shared" si="6"/>
        <v>44732</v>
      </c>
      <c r="C211" s="3">
        <f t="shared" si="7"/>
        <v>31</v>
      </c>
      <c r="D211" t="s">
        <v>188</v>
      </c>
    </row>
    <row r="212" spans="2:4">
      <c r="B212" s="4">
        <f t="shared" si="6"/>
        <v>44733</v>
      </c>
      <c r="C212" s="3">
        <f t="shared" si="7"/>
        <v>31</v>
      </c>
      <c r="D212" t="s">
        <v>189</v>
      </c>
    </row>
    <row r="213" spans="2:4">
      <c r="B213" s="4">
        <f t="shared" si="6"/>
        <v>44734</v>
      </c>
      <c r="C213" s="3">
        <f t="shared" si="7"/>
        <v>31</v>
      </c>
      <c r="D213" t="s">
        <v>190</v>
      </c>
    </row>
    <row r="214" spans="2:4">
      <c r="B214" s="4">
        <f t="shared" si="6"/>
        <v>44735</v>
      </c>
      <c r="C214" s="3">
        <f t="shared" si="7"/>
        <v>31</v>
      </c>
      <c r="D214" t="s">
        <v>191</v>
      </c>
    </row>
    <row r="215" spans="2:4">
      <c r="B215" s="4">
        <f t="shared" si="6"/>
        <v>44736</v>
      </c>
      <c r="C215" s="3">
        <f t="shared" si="7"/>
        <v>31</v>
      </c>
      <c r="D215" t="s">
        <v>192</v>
      </c>
    </row>
    <row r="216" spans="2:4">
      <c r="B216" s="4">
        <f t="shared" si="6"/>
        <v>44737</v>
      </c>
      <c r="C216" s="3">
        <f t="shared" si="7"/>
        <v>31</v>
      </c>
      <c r="D216" t="s">
        <v>193</v>
      </c>
    </row>
    <row r="217" spans="2:4">
      <c r="B217" s="4">
        <f t="shared" si="6"/>
        <v>44738</v>
      </c>
      <c r="C217" s="3">
        <f t="shared" si="7"/>
        <v>31</v>
      </c>
      <c r="D217" t="s">
        <v>194</v>
      </c>
    </row>
    <row r="218" spans="2:4">
      <c r="B218" s="4">
        <f t="shared" si="6"/>
        <v>44739</v>
      </c>
      <c r="C218" s="3">
        <f t="shared" si="7"/>
        <v>32</v>
      </c>
      <c r="D218" t="s">
        <v>188</v>
      </c>
    </row>
    <row r="219" spans="2:4">
      <c r="B219" s="4">
        <f t="shared" si="6"/>
        <v>44740</v>
      </c>
      <c r="C219" s="3">
        <f t="shared" si="7"/>
        <v>32</v>
      </c>
      <c r="D219" t="s">
        <v>189</v>
      </c>
    </row>
    <row r="220" spans="2:4">
      <c r="B220" s="4">
        <f t="shared" si="6"/>
        <v>44741</v>
      </c>
      <c r="C220" s="3">
        <f t="shared" si="7"/>
        <v>32</v>
      </c>
      <c r="D220" t="s">
        <v>190</v>
      </c>
    </row>
    <row r="221" spans="2:4">
      <c r="B221" s="4">
        <f t="shared" si="6"/>
        <v>44742</v>
      </c>
      <c r="C221" s="3">
        <f t="shared" si="7"/>
        <v>32</v>
      </c>
      <c r="D221" t="s">
        <v>191</v>
      </c>
    </row>
    <row r="222" spans="2:4">
      <c r="B222" s="4">
        <f t="shared" si="6"/>
        <v>44743</v>
      </c>
      <c r="C222" s="3">
        <f t="shared" si="7"/>
        <v>32</v>
      </c>
      <c r="D222" t="s">
        <v>192</v>
      </c>
    </row>
    <row r="223" spans="2:4">
      <c r="B223" s="4">
        <f t="shared" si="6"/>
        <v>44744</v>
      </c>
      <c r="C223" s="3">
        <f t="shared" si="7"/>
        <v>32</v>
      </c>
      <c r="D223" t="s">
        <v>193</v>
      </c>
    </row>
    <row r="224" spans="2:4">
      <c r="B224" s="4">
        <f t="shared" si="6"/>
        <v>44745</v>
      </c>
      <c r="C224" s="3">
        <f t="shared" si="7"/>
        <v>32</v>
      </c>
      <c r="D224" t="s">
        <v>194</v>
      </c>
    </row>
    <row r="225" spans="2:4">
      <c r="B225" s="4">
        <f t="shared" si="6"/>
        <v>44746</v>
      </c>
      <c r="C225" s="3">
        <f t="shared" si="7"/>
        <v>33</v>
      </c>
      <c r="D225" t="s">
        <v>188</v>
      </c>
    </row>
    <row r="226" spans="2:4">
      <c r="B226" s="4">
        <f t="shared" si="6"/>
        <v>44747</v>
      </c>
      <c r="C226" s="3">
        <f t="shared" si="7"/>
        <v>33</v>
      </c>
      <c r="D226" t="s">
        <v>189</v>
      </c>
    </row>
    <row r="227" spans="2:4">
      <c r="B227" s="4">
        <f t="shared" si="6"/>
        <v>44748</v>
      </c>
      <c r="C227" s="3">
        <f t="shared" si="7"/>
        <v>33</v>
      </c>
      <c r="D227" t="s">
        <v>190</v>
      </c>
    </row>
    <row r="228" spans="2:4">
      <c r="B228" s="4">
        <f t="shared" si="6"/>
        <v>44749</v>
      </c>
      <c r="C228" s="3">
        <f t="shared" si="7"/>
        <v>33</v>
      </c>
      <c r="D228" t="s">
        <v>191</v>
      </c>
    </row>
    <row r="229" spans="2:4">
      <c r="B229" s="4">
        <f t="shared" si="6"/>
        <v>44750</v>
      </c>
      <c r="C229" s="3">
        <f t="shared" si="7"/>
        <v>33</v>
      </c>
      <c r="D229" t="s">
        <v>192</v>
      </c>
    </row>
    <row r="230" spans="2:4">
      <c r="B230" s="4">
        <f t="shared" si="6"/>
        <v>44751</v>
      </c>
      <c r="C230" s="3">
        <f t="shared" si="7"/>
        <v>33</v>
      </c>
      <c r="D230" t="s">
        <v>193</v>
      </c>
    </row>
    <row r="231" spans="2:4">
      <c r="B231" s="4">
        <f t="shared" si="6"/>
        <v>44752</v>
      </c>
      <c r="C231" s="3">
        <f t="shared" si="7"/>
        <v>33</v>
      </c>
      <c r="D231" t="s">
        <v>194</v>
      </c>
    </row>
    <row r="232" spans="2:4">
      <c r="B232" s="4">
        <f t="shared" si="6"/>
        <v>44753</v>
      </c>
      <c r="C232" s="3">
        <f t="shared" si="7"/>
        <v>34</v>
      </c>
      <c r="D232" t="s">
        <v>188</v>
      </c>
    </row>
    <row r="233" spans="2:4">
      <c r="B233" s="4">
        <f t="shared" si="6"/>
        <v>44754</v>
      </c>
      <c r="C233" s="3">
        <f t="shared" si="7"/>
        <v>34</v>
      </c>
      <c r="D233" t="s">
        <v>189</v>
      </c>
    </row>
    <row r="234" spans="2:4">
      <c r="B234" s="4">
        <f t="shared" si="6"/>
        <v>44755</v>
      </c>
      <c r="C234" s="3">
        <f t="shared" si="7"/>
        <v>34</v>
      </c>
      <c r="D234" t="s">
        <v>190</v>
      </c>
    </row>
    <row r="235" spans="2:4">
      <c r="B235" s="4">
        <f t="shared" si="6"/>
        <v>44756</v>
      </c>
      <c r="C235" s="3">
        <f t="shared" si="7"/>
        <v>34</v>
      </c>
      <c r="D235" t="s">
        <v>191</v>
      </c>
    </row>
    <row r="236" spans="2:4">
      <c r="B236" s="4">
        <f t="shared" si="6"/>
        <v>44757</v>
      </c>
      <c r="C236" s="3">
        <f t="shared" si="7"/>
        <v>34</v>
      </c>
      <c r="D236" t="s">
        <v>192</v>
      </c>
    </row>
    <row r="237" spans="2:4">
      <c r="B237" s="4">
        <f t="shared" si="6"/>
        <v>44758</v>
      </c>
      <c r="C237" s="3">
        <f t="shared" si="7"/>
        <v>34</v>
      </c>
      <c r="D237" t="s">
        <v>193</v>
      </c>
    </row>
    <row r="238" spans="2:4">
      <c r="B238" s="4">
        <f t="shared" si="6"/>
        <v>44759</v>
      </c>
      <c r="C238" s="3">
        <f t="shared" si="7"/>
        <v>34</v>
      </c>
      <c r="D238" t="s">
        <v>194</v>
      </c>
    </row>
    <row r="239" spans="2:4">
      <c r="B239" s="4">
        <f t="shared" si="6"/>
        <v>44760</v>
      </c>
      <c r="C239" s="3">
        <f t="shared" si="7"/>
        <v>35</v>
      </c>
      <c r="D239" t="s">
        <v>188</v>
      </c>
    </row>
    <row r="240" spans="2:4">
      <c r="B240" s="4">
        <f t="shared" si="6"/>
        <v>44761</v>
      </c>
      <c r="C240" s="3">
        <f t="shared" si="7"/>
        <v>35</v>
      </c>
      <c r="D240" t="s">
        <v>189</v>
      </c>
    </row>
    <row r="241" spans="2:4">
      <c r="B241" s="4">
        <f t="shared" si="6"/>
        <v>44762</v>
      </c>
      <c r="C241" s="3">
        <f t="shared" si="7"/>
        <v>35</v>
      </c>
      <c r="D241" t="s">
        <v>190</v>
      </c>
    </row>
    <row r="242" spans="2:4">
      <c r="B242" s="4">
        <f t="shared" si="6"/>
        <v>44763</v>
      </c>
      <c r="C242" s="3">
        <f t="shared" si="7"/>
        <v>35</v>
      </c>
      <c r="D242" t="s">
        <v>191</v>
      </c>
    </row>
    <row r="243" spans="2:4">
      <c r="B243" s="4">
        <f t="shared" si="6"/>
        <v>44764</v>
      </c>
      <c r="C243" s="3">
        <f t="shared" si="7"/>
        <v>35</v>
      </c>
      <c r="D243" t="s">
        <v>192</v>
      </c>
    </row>
    <row r="244" spans="2:4">
      <c r="B244" s="4">
        <f t="shared" si="6"/>
        <v>44765</v>
      </c>
      <c r="C244" s="3">
        <f t="shared" si="7"/>
        <v>35</v>
      </c>
      <c r="D244" t="s">
        <v>193</v>
      </c>
    </row>
    <row r="245" spans="2:4">
      <c r="B245" s="4">
        <f t="shared" si="6"/>
        <v>44766</v>
      </c>
      <c r="C245" s="3">
        <f t="shared" si="7"/>
        <v>35</v>
      </c>
      <c r="D245" t="s">
        <v>194</v>
      </c>
    </row>
    <row r="246" spans="2:4">
      <c r="B246" s="4">
        <f t="shared" si="6"/>
        <v>44767</v>
      </c>
      <c r="C246" s="3">
        <f t="shared" si="7"/>
        <v>36</v>
      </c>
      <c r="D246" t="s">
        <v>188</v>
      </c>
    </row>
    <row r="247" spans="2:4">
      <c r="B247" s="4">
        <f t="shared" si="6"/>
        <v>44768</v>
      </c>
      <c r="C247" s="3">
        <f t="shared" si="7"/>
        <v>36</v>
      </c>
      <c r="D247" t="s">
        <v>189</v>
      </c>
    </row>
    <row r="248" spans="2:4">
      <c r="B248" s="4">
        <f t="shared" si="6"/>
        <v>44769</v>
      </c>
      <c r="C248" s="3">
        <f t="shared" si="7"/>
        <v>36</v>
      </c>
      <c r="D248" t="s">
        <v>190</v>
      </c>
    </row>
    <row r="249" spans="2:4">
      <c r="B249" s="4">
        <f t="shared" si="6"/>
        <v>44770</v>
      </c>
      <c r="C249" s="3">
        <f t="shared" si="7"/>
        <v>36</v>
      </c>
      <c r="D249" t="s">
        <v>191</v>
      </c>
    </row>
    <row r="250" spans="2:4">
      <c r="B250" s="4">
        <f t="shared" si="6"/>
        <v>44771</v>
      </c>
      <c r="C250" s="3">
        <f t="shared" si="7"/>
        <v>36</v>
      </c>
      <c r="D250" t="s">
        <v>192</v>
      </c>
    </row>
    <row r="251" spans="2:4">
      <c r="B251" s="4">
        <f t="shared" si="6"/>
        <v>44772</v>
      </c>
      <c r="C251" s="3">
        <f t="shared" si="7"/>
        <v>36</v>
      </c>
      <c r="D251" t="s">
        <v>193</v>
      </c>
    </row>
    <row r="252" spans="2:4">
      <c r="B252" s="4">
        <f t="shared" si="6"/>
        <v>44773</v>
      </c>
      <c r="C252" s="3">
        <f t="shared" si="7"/>
        <v>36</v>
      </c>
      <c r="D252" t="s">
        <v>194</v>
      </c>
    </row>
    <row r="253" spans="2:4">
      <c r="B253" s="4">
        <f t="shared" si="6"/>
        <v>44774</v>
      </c>
      <c r="C253" s="3">
        <f t="shared" si="7"/>
        <v>37</v>
      </c>
      <c r="D253" t="s">
        <v>188</v>
      </c>
    </row>
    <row r="254" spans="2:4">
      <c r="B254" s="4">
        <f t="shared" si="6"/>
        <v>44775</v>
      </c>
      <c r="C254" s="3">
        <f t="shared" si="7"/>
        <v>37</v>
      </c>
      <c r="D254" t="s">
        <v>189</v>
      </c>
    </row>
    <row r="255" spans="2:4">
      <c r="B255" s="4">
        <f t="shared" si="6"/>
        <v>44776</v>
      </c>
      <c r="C255" s="3">
        <f t="shared" si="7"/>
        <v>37</v>
      </c>
      <c r="D255" t="s">
        <v>190</v>
      </c>
    </row>
    <row r="256" spans="2:4">
      <c r="B256" s="4">
        <f t="shared" si="6"/>
        <v>44777</v>
      </c>
      <c r="C256" s="3">
        <f t="shared" si="7"/>
        <v>37</v>
      </c>
      <c r="D256" t="s">
        <v>191</v>
      </c>
    </row>
    <row r="257" spans="2:4">
      <c r="B257" s="4">
        <f t="shared" si="6"/>
        <v>44778</v>
      </c>
      <c r="C257" s="3">
        <f t="shared" si="7"/>
        <v>37</v>
      </c>
      <c r="D257" t="s">
        <v>192</v>
      </c>
    </row>
    <row r="258" spans="2:4">
      <c r="B258" s="4">
        <f t="shared" si="6"/>
        <v>44779</v>
      </c>
      <c r="C258" s="3">
        <f t="shared" si="7"/>
        <v>37</v>
      </c>
      <c r="D258" t="s">
        <v>193</v>
      </c>
    </row>
    <row r="259" spans="2:4">
      <c r="B259" s="4">
        <f t="shared" ref="B259:B301" si="8">B258+1</f>
        <v>44780</v>
      </c>
      <c r="C259" s="3">
        <f t="shared" si="7"/>
        <v>37</v>
      </c>
      <c r="D259" t="s">
        <v>194</v>
      </c>
    </row>
    <row r="260" spans="2:4">
      <c r="B260" s="4">
        <f t="shared" si="8"/>
        <v>44781</v>
      </c>
      <c r="C260" s="3">
        <f t="shared" si="7"/>
        <v>38</v>
      </c>
      <c r="D260" t="s">
        <v>188</v>
      </c>
    </row>
    <row r="261" spans="2:4">
      <c r="B261" s="4">
        <f t="shared" si="8"/>
        <v>44782</v>
      </c>
      <c r="C261" s="3">
        <f t="shared" si="7"/>
        <v>38</v>
      </c>
      <c r="D261" t="s">
        <v>189</v>
      </c>
    </row>
    <row r="262" spans="2:4">
      <c r="B262" s="4">
        <f t="shared" si="8"/>
        <v>44783</v>
      </c>
      <c r="C262" s="3">
        <f t="shared" si="7"/>
        <v>38</v>
      </c>
      <c r="D262" t="s">
        <v>190</v>
      </c>
    </row>
    <row r="263" spans="2:4">
      <c r="B263" s="4">
        <f t="shared" si="8"/>
        <v>44784</v>
      </c>
      <c r="C263" s="3">
        <f t="shared" si="7"/>
        <v>38</v>
      </c>
      <c r="D263" t="s">
        <v>191</v>
      </c>
    </row>
    <row r="264" spans="2:4">
      <c r="B264" s="4">
        <f t="shared" si="8"/>
        <v>44785</v>
      </c>
      <c r="C264" s="3">
        <f t="shared" si="7"/>
        <v>38</v>
      </c>
      <c r="D264" t="s">
        <v>192</v>
      </c>
    </row>
    <row r="265" spans="2:4">
      <c r="B265" s="4">
        <f t="shared" si="8"/>
        <v>44786</v>
      </c>
      <c r="C265" s="3">
        <f t="shared" ref="C265:C301" si="9">C258+1</f>
        <v>38</v>
      </c>
      <c r="D265" t="s">
        <v>193</v>
      </c>
    </row>
    <row r="266" spans="2:4">
      <c r="B266" s="4">
        <f t="shared" si="8"/>
        <v>44787</v>
      </c>
      <c r="C266" s="3">
        <f t="shared" si="9"/>
        <v>38</v>
      </c>
      <c r="D266" t="s">
        <v>194</v>
      </c>
    </row>
    <row r="267" spans="2:4">
      <c r="B267" s="4">
        <f t="shared" si="8"/>
        <v>44788</v>
      </c>
      <c r="C267" s="3">
        <f t="shared" si="9"/>
        <v>39</v>
      </c>
      <c r="D267" t="s">
        <v>188</v>
      </c>
    </row>
    <row r="268" spans="2:4">
      <c r="B268" s="4">
        <f t="shared" si="8"/>
        <v>44789</v>
      </c>
      <c r="C268" s="3">
        <f t="shared" si="9"/>
        <v>39</v>
      </c>
      <c r="D268" t="s">
        <v>189</v>
      </c>
    </row>
    <row r="269" spans="2:4">
      <c r="B269" s="4">
        <f t="shared" si="8"/>
        <v>44790</v>
      </c>
      <c r="C269" s="3">
        <f t="shared" si="9"/>
        <v>39</v>
      </c>
      <c r="D269" t="s">
        <v>190</v>
      </c>
    </row>
    <row r="270" spans="2:4">
      <c r="B270" s="4">
        <f t="shared" si="8"/>
        <v>44791</v>
      </c>
      <c r="C270" s="3">
        <f t="shared" si="9"/>
        <v>39</v>
      </c>
      <c r="D270" t="s">
        <v>191</v>
      </c>
    </row>
    <row r="271" spans="2:4">
      <c r="B271" s="4">
        <f t="shared" si="8"/>
        <v>44792</v>
      </c>
      <c r="C271" s="3">
        <f t="shared" si="9"/>
        <v>39</v>
      </c>
      <c r="D271" t="s">
        <v>192</v>
      </c>
    </row>
    <row r="272" spans="2:4">
      <c r="B272" s="4">
        <f t="shared" si="8"/>
        <v>44793</v>
      </c>
      <c r="C272" s="3">
        <f t="shared" si="9"/>
        <v>39</v>
      </c>
      <c r="D272" t="s">
        <v>193</v>
      </c>
    </row>
    <row r="273" spans="2:4">
      <c r="B273" s="4">
        <f t="shared" si="8"/>
        <v>44794</v>
      </c>
      <c r="C273" s="3">
        <f t="shared" si="9"/>
        <v>39</v>
      </c>
      <c r="D273" t="s">
        <v>194</v>
      </c>
    </row>
    <row r="274" spans="2:4">
      <c r="B274" s="4">
        <f t="shared" si="8"/>
        <v>44795</v>
      </c>
      <c r="C274" s="3">
        <f t="shared" si="9"/>
        <v>40</v>
      </c>
      <c r="D274" t="s">
        <v>188</v>
      </c>
    </row>
    <row r="275" spans="2:4">
      <c r="B275" s="4">
        <f t="shared" si="8"/>
        <v>44796</v>
      </c>
      <c r="C275" s="3">
        <f t="shared" si="9"/>
        <v>40</v>
      </c>
      <c r="D275" t="s">
        <v>189</v>
      </c>
    </row>
    <row r="276" spans="2:4">
      <c r="B276" s="4">
        <f t="shared" si="8"/>
        <v>44797</v>
      </c>
      <c r="C276" s="3">
        <f t="shared" si="9"/>
        <v>40</v>
      </c>
      <c r="D276" t="s">
        <v>190</v>
      </c>
    </row>
    <row r="277" spans="2:4">
      <c r="B277" s="4">
        <f t="shared" si="8"/>
        <v>44798</v>
      </c>
      <c r="C277" s="3">
        <f t="shared" si="9"/>
        <v>40</v>
      </c>
      <c r="D277" t="s">
        <v>191</v>
      </c>
    </row>
    <row r="278" spans="2:4">
      <c r="B278" s="4">
        <f t="shared" si="8"/>
        <v>44799</v>
      </c>
      <c r="C278" s="3">
        <f t="shared" si="9"/>
        <v>40</v>
      </c>
      <c r="D278" t="s">
        <v>192</v>
      </c>
    </row>
    <row r="279" spans="2:4">
      <c r="B279" s="4">
        <f t="shared" si="8"/>
        <v>44800</v>
      </c>
      <c r="C279" s="3">
        <f t="shared" si="9"/>
        <v>40</v>
      </c>
      <c r="D279" t="s">
        <v>193</v>
      </c>
    </row>
    <row r="280" spans="2:4">
      <c r="B280" s="4">
        <f t="shared" si="8"/>
        <v>44801</v>
      </c>
      <c r="C280" s="3">
        <f t="shared" si="9"/>
        <v>40</v>
      </c>
      <c r="D280" t="s">
        <v>194</v>
      </c>
    </row>
    <row r="281" spans="2:4">
      <c r="B281" s="4">
        <f t="shared" si="8"/>
        <v>44802</v>
      </c>
      <c r="C281" s="3">
        <f t="shared" si="9"/>
        <v>41</v>
      </c>
      <c r="D281" t="s">
        <v>188</v>
      </c>
    </row>
    <row r="282" spans="2:4">
      <c r="B282" s="4">
        <f t="shared" si="8"/>
        <v>44803</v>
      </c>
      <c r="C282" s="3">
        <f t="shared" si="9"/>
        <v>41</v>
      </c>
      <c r="D282" t="s">
        <v>189</v>
      </c>
    </row>
    <row r="283" spans="2:4">
      <c r="B283" s="4">
        <f t="shared" si="8"/>
        <v>44804</v>
      </c>
      <c r="C283" s="3">
        <f t="shared" si="9"/>
        <v>41</v>
      </c>
      <c r="D283" t="s">
        <v>190</v>
      </c>
    </row>
    <row r="284" spans="2:4">
      <c r="B284" s="4">
        <f t="shared" si="8"/>
        <v>44805</v>
      </c>
      <c r="C284" s="3">
        <f t="shared" si="9"/>
        <v>41</v>
      </c>
      <c r="D284" t="s">
        <v>191</v>
      </c>
    </row>
    <row r="285" spans="2:4">
      <c r="B285" s="4">
        <f t="shared" si="8"/>
        <v>44806</v>
      </c>
      <c r="C285" s="3">
        <f t="shared" si="9"/>
        <v>41</v>
      </c>
      <c r="D285" t="s">
        <v>192</v>
      </c>
    </row>
    <row r="286" spans="2:4">
      <c r="B286" s="4">
        <f t="shared" si="8"/>
        <v>44807</v>
      </c>
      <c r="C286" s="3">
        <f t="shared" si="9"/>
        <v>41</v>
      </c>
      <c r="D286" t="s">
        <v>193</v>
      </c>
    </row>
    <row r="287" spans="2:4">
      <c r="B287" s="4">
        <f t="shared" si="8"/>
        <v>44808</v>
      </c>
      <c r="C287" s="3">
        <f t="shared" si="9"/>
        <v>41</v>
      </c>
      <c r="D287" t="s">
        <v>194</v>
      </c>
    </row>
    <row r="288" spans="2:4">
      <c r="B288" s="4">
        <f t="shared" si="8"/>
        <v>44809</v>
      </c>
      <c r="C288" s="3">
        <f t="shared" si="9"/>
        <v>42</v>
      </c>
      <c r="D288" t="s">
        <v>188</v>
      </c>
    </row>
    <row r="289" spans="2:4">
      <c r="B289" s="4">
        <f t="shared" si="8"/>
        <v>44810</v>
      </c>
      <c r="C289" s="3">
        <f t="shared" si="9"/>
        <v>42</v>
      </c>
      <c r="D289" t="s">
        <v>189</v>
      </c>
    </row>
    <row r="290" spans="2:4">
      <c r="B290" s="4">
        <f t="shared" si="8"/>
        <v>44811</v>
      </c>
      <c r="C290" s="3">
        <f t="shared" si="9"/>
        <v>42</v>
      </c>
      <c r="D290" t="s">
        <v>190</v>
      </c>
    </row>
    <row r="291" spans="2:4">
      <c r="B291" s="4">
        <f t="shared" si="8"/>
        <v>44812</v>
      </c>
      <c r="C291" s="3">
        <f t="shared" si="9"/>
        <v>42</v>
      </c>
      <c r="D291" t="s">
        <v>191</v>
      </c>
    </row>
    <row r="292" spans="2:4">
      <c r="B292" s="4">
        <f t="shared" si="8"/>
        <v>44813</v>
      </c>
      <c r="C292" s="3">
        <f t="shared" si="9"/>
        <v>42</v>
      </c>
      <c r="D292" t="s">
        <v>192</v>
      </c>
    </row>
    <row r="293" spans="2:4">
      <c r="B293" s="4">
        <f t="shared" si="8"/>
        <v>44814</v>
      </c>
      <c r="C293" s="3">
        <f t="shared" si="9"/>
        <v>42</v>
      </c>
      <c r="D293" t="s">
        <v>193</v>
      </c>
    </row>
    <row r="294" spans="2:4">
      <c r="B294" s="4">
        <f t="shared" si="8"/>
        <v>44815</v>
      </c>
      <c r="C294" s="3">
        <f t="shared" si="9"/>
        <v>42</v>
      </c>
      <c r="D294" t="s">
        <v>194</v>
      </c>
    </row>
    <row r="295" spans="2:4">
      <c r="B295" s="4">
        <f t="shared" si="8"/>
        <v>44816</v>
      </c>
      <c r="C295" s="3">
        <f t="shared" si="9"/>
        <v>43</v>
      </c>
      <c r="D295" t="s">
        <v>188</v>
      </c>
    </row>
    <row r="296" spans="2:4">
      <c r="B296" s="4">
        <f t="shared" si="8"/>
        <v>44817</v>
      </c>
      <c r="C296" s="3">
        <f t="shared" si="9"/>
        <v>43</v>
      </c>
      <c r="D296" t="s">
        <v>189</v>
      </c>
    </row>
    <row r="297" spans="2:4">
      <c r="B297" s="4">
        <f t="shared" si="8"/>
        <v>44818</v>
      </c>
      <c r="C297" s="3">
        <f t="shared" si="9"/>
        <v>43</v>
      </c>
      <c r="D297" t="s">
        <v>190</v>
      </c>
    </row>
    <row r="298" spans="2:4">
      <c r="B298" s="4">
        <f t="shared" si="8"/>
        <v>44819</v>
      </c>
      <c r="C298" s="3">
        <f t="shared" si="9"/>
        <v>43</v>
      </c>
      <c r="D298" t="s">
        <v>191</v>
      </c>
    </row>
    <row r="299" spans="2:4">
      <c r="B299" s="4">
        <f t="shared" si="8"/>
        <v>44820</v>
      </c>
      <c r="C299" s="3">
        <f t="shared" si="9"/>
        <v>43</v>
      </c>
      <c r="D299" t="s">
        <v>192</v>
      </c>
    </row>
    <row r="300" spans="2:4">
      <c r="B300" s="4">
        <f t="shared" si="8"/>
        <v>44821</v>
      </c>
      <c r="C300" s="3">
        <f t="shared" si="9"/>
        <v>43</v>
      </c>
      <c r="D300" t="s">
        <v>193</v>
      </c>
    </row>
    <row r="301" spans="2:4">
      <c r="B301" s="4">
        <f t="shared" si="8"/>
        <v>44822</v>
      </c>
      <c r="C301" s="3">
        <f t="shared" si="9"/>
        <v>43</v>
      </c>
      <c r="D301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DA7E-24A7-4F46-82FB-7DFE0B68B6F9}">
  <dimension ref="B1:AG56"/>
  <sheetViews>
    <sheetView showGridLines="0" zoomScale="55" zoomScaleNormal="55" workbookViewId="0">
      <selection activeCell="R55" sqref="R55"/>
    </sheetView>
  </sheetViews>
  <sheetFormatPr defaultRowHeight="15"/>
  <cols>
    <col min="2" max="2" width="9.140625" style="47"/>
    <col min="3" max="3" width="36.140625" style="54" customWidth="1"/>
    <col min="4" max="4" width="10.7109375" style="49" customWidth="1"/>
    <col min="5" max="21" width="10.7109375" style="47" customWidth="1"/>
    <col min="22" max="22" width="2.140625" style="47" customWidth="1"/>
    <col min="23" max="23" width="23.42578125" style="47" customWidth="1"/>
    <col min="24" max="24" width="13.5703125" style="50" customWidth="1"/>
    <col min="25" max="25" width="14.42578125" bestFit="1" customWidth="1"/>
  </cols>
  <sheetData>
    <row r="1" spans="2:24">
      <c r="C1" s="48" t="s">
        <v>267</v>
      </c>
    </row>
    <row r="2" spans="2:24">
      <c r="C2" s="48"/>
    </row>
    <row r="3" spans="2:24">
      <c r="C3" s="51" t="s">
        <v>268</v>
      </c>
      <c r="D3" s="52"/>
      <c r="E3" s="53"/>
    </row>
    <row r="4" spans="2:24">
      <c r="C4" s="48"/>
      <c r="D4" s="53"/>
      <c r="E4" s="53"/>
    </row>
    <row r="5" spans="2:24" ht="15.75" thickBot="1"/>
    <row r="6" spans="2:24" s="58" customFormat="1" ht="15.75" thickBot="1">
      <c r="B6" s="55"/>
      <c r="C6" s="54"/>
      <c r="D6" s="56">
        <v>44470</v>
      </c>
      <c r="E6" s="56">
        <v>44501</v>
      </c>
      <c r="F6" s="56">
        <v>44531</v>
      </c>
      <c r="G6" s="56">
        <v>44562</v>
      </c>
      <c r="H6" s="56">
        <v>44593</v>
      </c>
      <c r="I6" s="56">
        <v>44621</v>
      </c>
      <c r="J6" s="56">
        <v>44652</v>
      </c>
      <c r="K6" s="56">
        <v>44682</v>
      </c>
      <c r="L6" s="56">
        <v>44713</v>
      </c>
      <c r="M6" s="56">
        <v>44743</v>
      </c>
      <c r="N6" s="56">
        <v>44774</v>
      </c>
      <c r="O6" s="56">
        <v>44805</v>
      </c>
      <c r="P6" s="56">
        <v>44835</v>
      </c>
      <c r="Q6" s="56">
        <v>44866</v>
      </c>
      <c r="R6" s="56">
        <v>44896</v>
      </c>
      <c r="S6" s="56">
        <v>44927</v>
      </c>
      <c r="T6" s="56">
        <v>44958</v>
      </c>
      <c r="U6" s="56">
        <v>44986</v>
      </c>
      <c r="V6" s="55"/>
      <c r="W6" s="56" t="s">
        <v>187</v>
      </c>
      <c r="X6" s="57"/>
    </row>
    <row r="7" spans="2:24" ht="24.95" customHeight="1" thickBot="1">
      <c r="C7" s="59" t="s">
        <v>269</v>
      </c>
      <c r="D7" s="60">
        <f t="shared" ref="D7:U7" si="0">D38</f>
        <v>0</v>
      </c>
      <c r="E7" s="60">
        <f t="shared" si="0"/>
        <v>200000</v>
      </c>
      <c r="F7" s="60">
        <f t="shared" si="0"/>
        <v>200000</v>
      </c>
      <c r="G7" s="60">
        <f t="shared" si="0"/>
        <v>400000</v>
      </c>
      <c r="H7" s="60">
        <f t="shared" si="0"/>
        <v>600000</v>
      </c>
      <c r="I7" s="60">
        <f t="shared" si="0"/>
        <v>600000</v>
      </c>
      <c r="J7" s="60">
        <f t="shared" si="0"/>
        <v>400000</v>
      </c>
      <c r="K7" s="60">
        <f t="shared" si="0"/>
        <v>200000</v>
      </c>
      <c r="L7" s="60">
        <f t="shared" si="0"/>
        <v>200000</v>
      </c>
      <c r="M7" s="60">
        <f t="shared" si="0"/>
        <v>200000</v>
      </c>
      <c r="N7" s="60">
        <f t="shared" si="0"/>
        <v>200000</v>
      </c>
      <c r="O7" s="60">
        <f t="shared" si="0"/>
        <v>0</v>
      </c>
      <c r="P7" s="60">
        <f t="shared" si="0"/>
        <v>0</v>
      </c>
      <c r="Q7" s="60">
        <f t="shared" si="0"/>
        <v>0</v>
      </c>
      <c r="R7" s="60">
        <f t="shared" si="0"/>
        <v>0</v>
      </c>
      <c r="S7" s="60">
        <f t="shared" si="0"/>
        <v>0</v>
      </c>
      <c r="T7" s="60">
        <f t="shared" si="0"/>
        <v>0</v>
      </c>
      <c r="U7" s="60">
        <f t="shared" si="0"/>
        <v>0</v>
      </c>
      <c r="V7" s="61"/>
      <c r="W7" s="60">
        <f>SUM(D7:U7)</f>
        <v>3200000</v>
      </c>
    </row>
    <row r="8" spans="2:24" ht="24.95" customHeight="1" thickBot="1">
      <c r="C8" s="59" t="s">
        <v>270</v>
      </c>
      <c r="D8" s="60">
        <f t="shared" ref="D8:U8" si="1">D45</f>
        <v>130800</v>
      </c>
      <c r="E8" s="60">
        <f t="shared" si="1"/>
        <v>131746.59642186263</v>
      </c>
      <c r="F8" s="60">
        <f t="shared" si="1"/>
        <v>139246.15583183838</v>
      </c>
      <c r="G8" s="60">
        <f t="shared" si="1"/>
        <v>355523.65009187692</v>
      </c>
      <c r="H8" s="60">
        <f t="shared" si="1"/>
        <v>434620.78242966783</v>
      </c>
      <c r="I8" s="60">
        <f t="shared" si="1"/>
        <v>424006.511725349</v>
      </c>
      <c r="J8" s="60">
        <f t="shared" si="1"/>
        <v>222958.52360269701</v>
      </c>
      <c r="K8" s="60">
        <f t="shared" si="1"/>
        <v>165214.27352205361</v>
      </c>
      <c r="L8" s="60">
        <f t="shared" si="1"/>
        <v>207535.56282933117</v>
      </c>
      <c r="M8" s="60">
        <f t="shared" si="1"/>
        <v>175471.274869418</v>
      </c>
      <c r="N8" s="60">
        <f t="shared" si="1"/>
        <v>186884.47909630308</v>
      </c>
      <c r="O8" s="60">
        <f t="shared" si="1"/>
        <v>49239.731467746649</v>
      </c>
      <c r="P8" s="60">
        <f t="shared" si="1"/>
        <v>19</v>
      </c>
      <c r="Q8" s="60">
        <f t="shared" si="1"/>
        <v>0</v>
      </c>
      <c r="R8" s="60">
        <f t="shared" si="1"/>
        <v>0</v>
      </c>
      <c r="S8" s="60">
        <f t="shared" si="1"/>
        <v>0</v>
      </c>
      <c r="T8" s="60">
        <f t="shared" si="1"/>
        <v>0</v>
      </c>
      <c r="U8" s="60">
        <f t="shared" si="1"/>
        <v>0</v>
      </c>
      <c r="V8" s="61"/>
      <c r="W8" s="60">
        <f>SUM(D8:U8)</f>
        <v>2623266.5418881448</v>
      </c>
    </row>
    <row r="9" spans="2:24" ht="24.95" customHeight="1" thickBot="1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2:24" ht="24.95" customHeight="1" thickBot="1">
      <c r="C10" s="62" t="s">
        <v>271</v>
      </c>
      <c r="D10" s="63">
        <f>D7-D8</f>
        <v>-130800</v>
      </c>
      <c r="E10" s="63">
        <f t="shared" ref="E10:U10" si="2">E7-E8</f>
        <v>68253.403578137368</v>
      </c>
      <c r="F10" s="63">
        <f t="shared" si="2"/>
        <v>60753.844168161624</v>
      </c>
      <c r="G10" s="63">
        <f t="shared" si="2"/>
        <v>44476.349908123084</v>
      </c>
      <c r="H10" s="63">
        <f t="shared" si="2"/>
        <v>165379.21757033217</v>
      </c>
      <c r="I10" s="63">
        <f t="shared" si="2"/>
        <v>175993.488274651</v>
      </c>
      <c r="J10" s="63">
        <f t="shared" si="2"/>
        <v>177041.47639730299</v>
      </c>
      <c r="K10" s="63">
        <f t="shared" si="2"/>
        <v>34785.726477946388</v>
      </c>
      <c r="L10" s="63">
        <f t="shared" si="2"/>
        <v>-7535.5628293311747</v>
      </c>
      <c r="M10" s="63">
        <f t="shared" si="2"/>
        <v>24528.725130581995</v>
      </c>
      <c r="N10" s="63">
        <f t="shared" si="2"/>
        <v>13115.520903696917</v>
      </c>
      <c r="O10" s="63">
        <f t="shared" si="2"/>
        <v>-49239.731467746649</v>
      </c>
      <c r="P10" s="63">
        <f t="shared" si="2"/>
        <v>-19</v>
      </c>
      <c r="Q10" s="63">
        <f t="shared" si="2"/>
        <v>0</v>
      </c>
      <c r="R10" s="63">
        <f t="shared" si="2"/>
        <v>0</v>
      </c>
      <c r="S10" s="63">
        <f t="shared" si="2"/>
        <v>0</v>
      </c>
      <c r="T10" s="63">
        <f t="shared" si="2"/>
        <v>0</v>
      </c>
      <c r="U10" s="63">
        <f t="shared" si="2"/>
        <v>0</v>
      </c>
      <c r="V10" s="61"/>
      <c r="W10" s="63">
        <f>SUM(D10:U10)</f>
        <v>576733.45811185567</v>
      </c>
    </row>
    <row r="11" spans="2:24" ht="24.95" customHeight="1" thickBot="1">
      <c r="C11" s="62" t="s">
        <v>272</v>
      </c>
      <c r="D11" s="63">
        <f>D10</f>
        <v>-130800</v>
      </c>
      <c r="E11" s="63">
        <f>+E10+D11</f>
        <v>-62546.596421862632</v>
      </c>
      <c r="F11" s="63">
        <f t="shared" ref="F11:U11" si="3">+F10+E11</f>
        <v>-1792.7522537010082</v>
      </c>
      <c r="G11" s="63">
        <f t="shared" si="3"/>
        <v>42683.597654422076</v>
      </c>
      <c r="H11" s="63">
        <f t="shared" si="3"/>
        <v>208062.81522475425</v>
      </c>
      <c r="I11" s="63">
        <f t="shared" si="3"/>
        <v>384056.30349940527</v>
      </c>
      <c r="J11" s="63">
        <f t="shared" si="3"/>
        <v>561097.77989670821</v>
      </c>
      <c r="K11" s="63">
        <f t="shared" si="3"/>
        <v>595883.50637465459</v>
      </c>
      <c r="L11" s="63">
        <f t="shared" si="3"/>
        <v>588347.94354532345</v>
      </c>
      <c r="M11" s="63">
        <f t="shared" si="3"/>
        <v>612876.66867590544</v>
      </c>
      <c r="N11" s="63">
        <f t="shared" si="3"/>
        <v>625992.18957960233</v>
      </c>
      <c r="O11" s="63">
        <f t="shared" si="3"/>
        <v>576752.45811185567</v>
      </c>
      <c r="P11" s="63">
        <f t="shared" si="3"/>
        <v>576733.45811185567</v>
      </c>
      <c r="Q11" s="63">
        <f t="shared" si="3"/>
        <v>576733.45811185567</v>
      </c>
      <c r="R11" s="63">
        <f t="shared" si="3"/>
        <v>576733.45811185567</v>
      </c>
      <c r="S11" s="63">
        <f t="shared" si="3"/>
        <v>576733.45811185567</v>
      </c>
      <c r="T11" s="63">
        <f t="shared" si="3"/>
        <v>576733.45811185567</v>
      </c>
      <c r="U11" s="63">
        <f t="shared" si="3"/>
        <v>576733.45811185567</v>
      </c>
      <c r="V11" s="61"/>
      <c r="W11"/>
    </row>
    <row r="12" spans="2:24" ht="24.95" customHeight="1">
      <c r="B12"/>
      <c r="C12" s="9"/>
      <c r="D12" s="3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31" spans="31:33">
      <c r="AE31" s="130"/>
      <c r="AG31" s="131"/>
    </row>
    <row r="32" spans="31:33">
      <c r="AE32" s="130"/>
      <c r="AG32" s="131"/>
    </row>
    <row r="33" spans="2:33">
      <c r="AE33" s="130"/>
      <c r="AG33" s="131"/>
    </row>
    <row r="34" spans="2:33">
      <c r="AE34" s="130"/>
      <c r="AG34" s="131"/>
    </row>
    <row r="37" spans="2:33" ht="15.75" thickBot="1"/>
    <row r="38" spans="2:33" ht="24.95" customHeight="1" thickBot="1">
      <c r="C38" s="59" t="s">
        <v>273</v>
      </c>
      <c r="D38" s="60">
        <v>0</v>
      </c>
      <c r="E38" s="60">
        <f>E39*E40</f>
        <v>200000</v>
      </c>
      <c r="F38" s="60">
        <f t="shared" ref="F38:U38" si="4">F39*F40</f>
        <v>200000</v>
      </c>
      <c r="G38" s="60">
        <f t="shared" si="4"/>
        <v>400000</v>
      </c>
      <c r="H38" s="60">
        <f t="shared" si="4"/>
        <v>600000</v>
      </c>
      <c r="I38" s="60">
        <f t="shared" si="4"/>
        <v>600000</v>
      </c>
      <c r="J38" s="60">
        <f t="shared" si="4"/>
        <v>400000</v>
      </c>
      <c r="K38" s="60">
        <f t="shared" si="4"/>
        <v>200000</v>
      </c>
      <c r="L38" s="60">
        <f t="shared" si="4"/>
        <v>200000</v>
      </c>
      <c r="M38" s="60">
        <f t="shared" si="4"/>
        <v>200000</v>
      </c>
      <c r="N38" s="60">
        <f t="shared" si="4"/>
        <v>200000</v>
      </c>
      <c r="O38" s="60">
        <f t="shared" si="4"/>
        <v>0</v>
      </c>
      <c r="P38" s="60">
        <f t="shared" si="4"/>
        <v>0</v>
      </c>
      <c r="Q38" s="60">
        <f t="shared" si="4"/>
        <v>0</v>
      </c>
      <c r="R38" s="60">
        <f t="shared" si="4"/>
        <v>0</v>
      </c>
      <c r="S38" s="60">
        <f t="shared" si="4"/>
        <v>0</v>
      </c>
      <c r="T38" s="60">
        <f t="shared" si="4"/>
        <v>0</v>
      </c>
      <c r="U38" s="60">
        <f t="shared" si="4"/>
        <v>0</v>
      </c>
      <c r="W38" s="64">
        <f>SUM(D38:U38)</f>
        <v>3200000</v>
      </c>
      <c r="X38" s="65"/>
      <c r="Y38" s="66"/>
    </row>
    <row r="39" spans="2:33" ht="24.95" customHeight="1" thickBot="1">
      <c r="C39" s="67" t="s">
        <v>274</v>
      </c>
      <c r="D39" s="68">
        <v>0</v>
      </c>
      <c r="E39" s="68">
        <v>1</v>
      </c>
      <c r="F39" s="68">
        <v>1</v>
      </c>
      <c r="G39" s="68">
        <v>2</v>
      </c>
      <c r="H39" s="68">
        <v>3</v>
      </c>
      <c r="I39" s="68">
        <v>3</v>
      </c>
      <c r="J39" s="68">
        <v>2</v>
      </c>
      <c r="K39" s="68">
        <v>1</v>
      </c>
      <c r="L39" s="68">
        <v>1</v>
      </c>
      <c r="M39" s="68">
        <v>1</v>
      </c>
      <c r="N39" s="68">
        <v>1</v>
      </c>
      <c r="O39" s="68"/>
      <c r="P39" s="68"/>
      <c r="Q39" s="68"/>
      <c r="R39" s="68"/>
      <c r="S39" s="68"/>
      <c r="T39" s="68"/>
      <c r="U39" s="68"/>
      <c r="W39" s="69">
        <f>SUM(D39:U39)</f>
        <v>16</v>
      </c>
    </row>
    <row r="40" spans="2:33" ht="30" customHeight="1" thickBot="1">
      <c r="C40" s="70" t="s">
        <v>275</v>
      </c>
      <c r="D40" s="71">
        <v>0</v>
      </c>
      <c r="E40" s="71">
        <v>200000</v>
      </c>
      <c r="F40" s="71">
        <v>200000</v>
      </c>
      <c r="G40" s="71">
        <v>200000</v>
      </c>
      <c r="H40" s="71">
        <v>200000</v>
      </c>
      <c r="I40" s="71">
        <v>200000</v>
      </c>
      <c r="J40" s="71">
        <v>200000</v>
      </c>
      <c r="K40" s="71">
        <v>200000</v>
      </c>
      <c r="L40" s="71">
        <v>200000</v>
      </c>
      <c r="M40" s="71">
        <v>200000</v>
      </c>
      <c r="N40" s="71">
        <v>200000</v>
      </c>
      <c r="O40" s="71">
        <v>200000</v>
      </c>
      <c r="P40" s="71">
        <v>200000</v>
      </c>
      <c r="Q40" s="71">
        <v>200000</v>
      </c>
      <c r="R40" s="71">
        <v>200000</v>
      </c>
      <c r="S40" s="71">
        <v>200000</v>
      </c>
      <c r="T40" s="71">
        <v>200000</v>
      </c>
      <c r="U40" s="71">
        <v>200000</v>
      </c>
      <c r="W40" s="72"/>
    </row>
    <row r="41" spans="2:33">
      <c r="W41" s="73"/>
    </row>
    <row r="42" spans="2:33">
      <c r="W42" s="73"/>
    </row>
    <row r="43" spans="2:33" ht="15.75" thickBot="1">
      <c r="W43" s="73"/>
    </row>
    <row r="44" spans="2:33" ht="15.75" thickBot="1">
      <c r="D44" s="56">
        <f>D6</f>
        <v>44470</v>
      </c>
      <c r="E44" s="56">
        <f t="shared" ref="E44:U44" si="5">E6</f>
        <v>44501</v>
      </c>
      <c r="F44" s="56">
        <f t="shared" si="5"/>
        <v>44531</v>
      </c>
      <c r="G44" s="56">
        <f t="shared" si="5"/>
        <v>44562</v>
      </c>
      <c r="H44" s="56">
        <f t="shared" si="5"/>
        <v>44593</v>
      </c>
      <c r="I44" s="56">
        <f t="shared" si="5"/>
        <v>44621</v>
      </c>
      <c r="J44" s="56">
        <f t="shared" si="5"/>
        <v>44652</v>
      </c>
      <c r="K44" s="56">
        <f t="shared" si="5"/>
        <v>44682</v>
      </c>
      <c r="L44" s="56">
        <f t="shared" si="5"/>
        <v>44713</v>
      </c>
      <c r="M44" s="56">
        <f t="shared" si="5"/>
        <v>44743</v>
      </c>
      <c r="N44" s="56">
        <f t="shared" si="5"/>
        <v>44774</v>
      </c>
      <c r="O44" s="56">
        <f t="shared" si="5"/>
        <v>44805</v>
      </c>
      <c r="P44" s="56">
        <f t="shared" si="5"/>
        <v>44835</v>
      </c>
      <c r="Q44" s="56">
        <f t="shared" si="5"/>
        <v>44866</v>
      </c>
      <c r="R44" s="56">
        <f t="shared" si="5"/>
        <v>44896</v>
      </c>
      <c r="S44" s="56">
        <f t="shared" si="5"/>
        <v>44927</v>
      </c>
      <c r="T44" s="56">
        <f t="shared" si="5"/>
        <v>44958</v>
      </c>
      <c r="U44" s="56">
        <f t="shared" si="5"/>
        <v>44986</v>
      </c>
      <c r="V44" s="55"/>
      <c r="W44" s="56" t="s">
        <v>187</v>
      </c>
    </row>
    <row r="45" spans="2:33" ht="24.95" customHeight="1" thickBot="1">
      <c r="C45" s="59" t="s">
        <v>276</v>
      </c>
      <c r="D45" s="60">
        <f>D47+D48+D50++D52+D56+D53+D54+D55+D49</f>
        <v>130800</v>
      </c>
      <c r="E45" s="60">
        <f t="shared" ref="E45:U45" si="6">E47+E48+E50++E52+E56+E53+E54+E55+E49</f>
        <v>131746.59642186263</v>
      </c>
      <c r="F45" s="60">
        <f t="shared" si="6"/>
        <v>139246.15583183838</v>
      </c>
      <c r="G45" s="60">
        <f t="shared" si="6"/>
        <v>355523.65009187692</v>
      </c>
      <c r="H45" s="60">
        <f t="shared" si="6"/>
        <v>434620.78242966783</v>
      </c>
      <c r="I45" s="60">
        <f t="shared" si="6"/>
        <v>424006.511725349</v>
      </c>
      <c r="J45" s="60">
        <f t="shared" si="6"/>
        <v>222958.52360269701</v>
      </c>
      <c r="K45" s="60">
        <f t="shared" si="6"/>
        <v>165214.27352205361</v>
      </c>
      <c r="L45" s="60">
        <f t="shared" si="6"/>
        <v>207535.56282933117</v>
      </c>
      <c r="M45" s="60">
        <f t="shared" si="6"/>
        <v>175471.274869418</v>
      </c>
      <c r="N45" s="60">
        <f t="shared" si="6"/>
        <v>186884.47909630308</v>
      </c>
      <c r="O45" s="60">
        <f t="shared" si="6"/>
        <v>49239.731467746649</v>
      </c>
      <c r="P45" s="60">
        <f t="shared" si="6"/>
        <v>19</v>
      </c>
      <c r="Q45" s="60">
        <f t="shared" si="6"/>
        <v>0</v>
      </c>
      <c r="R45" s="60">
        <f t="shared" si="6"/>
        <v>0</v>
      </c>
      <c r="S45" s="60">
        <f t="shared" si="6"/>
        <v>0</v>
      </c>
      <c r="T45" s="60">
        <f t="shared" si="6"/>
        <v>0</v>
      </c>
      <c r="U45" s="60">
        <f t="shared" si="6"/>
        <v>0</v>
      </c>
      <c r="W45" s="64">
        <f>W47+W48+W49+W50+W52+W53+W54+W55+W56</f>
        <v>2623266.5418881443</v>
      </c>
    </row>
    <row r="46" spans="2:33" ht="9.75" customHeight="1" thickBot="1">
      <c r="C46" s="48"/>
      <c r="W46" s="73"/>
    </row>
    <row r="47" spans="2:33" ht="24.95" customHeight="1" thickBot="1">
      <c r="B47" s="132" t="s">
        <v>277</v>
      </c>
      <c r="C47" s="67" t="s">
        <v>278</v>
      </c>
      <c r="D47" s="71">
        <v>130800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61"/>
      <c r="W47" s="74">
        <f t="shared" ref="W47:W50" si="7">SUM(D47:U47)</f>
        <v>130800</v>
      </c>
    </row>
    <row r="48" spans="2:33" ht="24.95" customHeight="1" thickBot="1">
      <c r="B48" s="132"/>
      <c r="C48" s="67" t="s">
        <v>279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>
        <v>11000</v>
      </c>
      <c r="P48" s="71"/>
      <c r="Q48" s="71"/>
      <c r="R48" s="71"/>
      <c r="S48" s="71"/>
      <c r="T48" s="71"/>
      <c r="U48" s="71"/>
      <c r="V48" s="61"/>
      <c r="W48" s="74">
        <f t="shared" si="7"/>
        <v>11000</v>
      </c>
    </row>
    <row r="49" spans="2:25" ht="24.95" customHeight="1" thickBot="1">
      <c r="B49" s="132"/>
      <c r="C49" s="67" t="s">
        <v>280</v>
      </c>
      <c r="D49" s="71"/>
      <c r="E49" s="71">
        <f>97900/11</f>
        <v>8900</v>
      </c>
      <c r="F49" s="71">
        <v>8900</v>
      </c>
      <c r="G49" s="71">
        <v>8900</v>
      </c>
      <c r="H49" s="71">
        <v>8900</v>
      </c>
      <c r="I49" s="71">
        <v>8900</v>
      </c>
      <c r="J49" s="71">
        <v>8900</v>
      </c>
      <c r="K49" s="71">
        <v>8900</v>
      </c>
      <c r="L49" s="71">
        <v>8900</v>
      </c>
      <c r="M49" s="71">
        <v>8900</v>
      </c>
      <c r="N49" s="71">
        <v>8900</v>
      </c>
      <c r="O49" s="71">
        <v>8900</v>
      </c>
      <c r="P49" s="71"/>
      <c r="Q49" s="71"/>
      <c r="R49" s="71"/>
      <c r="S49" s="71"/>
      <c r="T49" s="71"/>
      <c r="U49" s="71"/>
      <c r="V49" s="61"/>
      <c r="W49" s="74">
        <f t="shared" si="7"/>
        <v>97900</v>
      </c>
    </row>
    <row r="50" spans="2:25" ht="24.95" customHeight="1" thickBot="1">
      <c r="B50" s="132"/>
      <c r="C50" s="67" t="s">
        <v>281</v>
      </c>
      <c r="D50" s="75">
        <f t="shared" ref="D50:U50" si="8">$X$50*D39</f>
        <v>0</v>
      </c>
      <c r="E50" s="71">
        <f t="shared" si="8"/>
        <v>31200</v>
      </c>
      <c r="F50" s="71">
        <f t="shared" si="8"/>
        <v>31200</v>
      </c>
      <c r="G50" s="71">
        <f t="shared" si="8"/>
        <v>62400</v>
      </c>
      <c r="H50" s="71">
        <f t="shared" si="8"/>
        <v>93600</v>
      </c>
      <c r="I50" s="71">
        <f t="shared" si="8"/>
        <v>93600</v>
      </c>
      <c r="J50" s="71">
        <f t="shared" si="8"/>
        <v>62400</v>
      </c>
      <c r="K50" s="71">
        <f t="shared" si="8"/>
        <v>31200</v>
      </c>
      <c r="L50" s="71">
        <f t="shared" si="8"/>
        <v>31200</v>
      </c>
      <c r="M50" s="71">
        <f t="shared" si="8"/>
        <v>31200</v>
      </c>
      <c r="N50" s="71">
        <f t="shared" si="8"/>
        <v>31200</v>
      </c>
      <c r="O50" s="71">
        <f t="shared" si="8"/>
        <v>0</v>
      </c>
      <c r="P50" s="71">
        <f t="shared" si="8"/>
        <v>0</v>
      </c>
      <c r="Q50" s="71">
        <f t="shared" si="8"/>
        <v>0</v>
      </c>
      <c r="R50" s="71">
        <f t="shared" si="8"/>
        <v>0</v>
      </c>
      <c r="S50" s="71">
        <f t="shared" si="8"/>
        <v>0</v>
      </c>
      <c r="T50" s="71">
        <f t="shared" si="8"/>
        <v>0</v>
      </c>
      <c r="U50" s="71">
        <f t="shared" si="8"/>
        <v>0</v>
      </c>
      <c r="V50" s="61"/>
      <c r="W50" s="74">
        <f t="shared" si="7"/>
        <v>499200</v>
      </c>
      <c r="X50" s="76">
        <v>31200</v>
      </c>
    </row>
    <row r="51" spans="2:25" ht="15.75" thickBot="1">
      <c r="D51" s="77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78"/>
    </row>
    <row r="52" spans="2:25" ht="24.95" customHeight="1" thickBot="1">
      <c r="B52" s="133" t="s">
        <v>282</v>
      </c>
      <c r="C52" s="67" t="s">
        <v>283</v>
      </c>
      <c r="D52" s="71"/>
      <c r="E52" s="71">
        <f>'FC - EDIFICAÇÃO'!E5</f>
        <v>46676.596421862632</v>
      </c>
      <c r="F52" s="71">
        <f>'FC - EDIFICAÇÃO'!F5</f>
        <v>65976.15583183839</v>
      </c>
      <c r="G52" s="71">
        <f>'FC - EDIFICAÇÃO'!G5</f>
        <v>246103.65009187692</v>
      </c>
      <c r="H52" s="71">
        <f>'FC - EDIFICAÇÃO'!H5</f>
        <v>300500.78242966783</v>
      </c>
      <c r="I52" s="71">
        <f>'FC - EDIFICAÇÃO'!I5</f>
        <v>290536.511725349</v>
      </c>
      <c r="J52" s="71">
        <f>'FC - EDIFICAÇÃO'!J5</f>
        <v>119438.52360269701</v>
      </c>
      <c r="K52" s="71">
        <f>'FC - EDIFICAÇÃO'!K5</f>
        <v>97144.273522053612</v>
      </c>
      <c r="L52" s="71">
        <f>'FC - EDIFICAÇÃO'!L5</f>
        <v>137765.56282933117</v>
      </c>
      <c r="M52" s="71">
        <f>'FC - EDIFICAÇÃO'!M5</f>
        <v>108301.274869418</v>
      </c>
      <c r="N52" s="71">
        <f>'FC - EDIFICAÇÃO'!N5</f>
        <v>120314.47909630308</v>
      </c>
      <c r="O52" s="71">
        <f>'FC - EDIFICAÇÃO'!O5</f>
        <v>1869.7314677466509</v>
      </c>
      <c r="P52" s="71">
        <v>19</v>
      </c>
      <c r="Q52" s="71"/>
      <c r="R52" s="71"/>
      <c r="S52" s="71"/>
      <c r="T52" s="71"/>
      <c r="U52" s="71"/>
      <c r="V52" s="61"/>
      <c r="W52" s="74">
        <f t="shared" ref="W52:W56" si="9">SUM(D52:U52)</f>
        <v>1534646.5418881443</v>
      </c>
      <c r="Y52" s="79"/>
    </row>
    <row r="53" spans="2:25" ht="24.95" customHeight="1" thickBot="1">
      <c r="B53" s="133"/>
      <c r="C53" s="67" t="s">
        <v>278</v>
      </c>
      <c r="D53" s="71"/>
      <c r="E53" s="71">
        <v>18500</v>
      </c>
      <c r="F53" s="71"/>
      <c r="G53" s="71">
        <v>1000</v>
      </c>
      <c r="H53" s="71"/>
      <c r="I53" s="71"/>
      <c r="J53" s="71">
        <f>250</f>
        <v>250</v>
      </c>
      <c r="K53" s="71"/>
      <c r="L53" s="71">
        <v>1200</v>
      </c>
      <c r="M53" s="71"/>
      <c r="N53" s="71"/>
      <c r="O53" s="71"/>
      <c r="P53" s="71"/>
      <c r="Q53" s="71"/>
      <c r="R53" s="71"/>
      <c r="S53" s="71"/>
      <c r="T53" s="71"/>
      <c r="U53" s="71"/>
      <c r="V53" s="61"/>
      <c r="W53" s="74">
        <f t="shared" si="9"/>
        <v>20950</v>
      </c>
    </row>
    <row r="54" spans="2:25" ht="24.95" customHeight="1" thickBot="1">
      <c r="B54" s="133"/>
      <c r="C54" s="67" t="s">
        <v>279</v>
      </c>
      <c r="D54" s="71"/>
      <c r="E54" s="71"/>
      <c r="F54" s="71">
        <v>1000</v>
      </c>
      <c r="G54" s="71"/>
      <c r="H54" s="71"/>
      <c r="I54" s="71"/>
      <c r="J54" s="71">
        <v>1000</v>
      </c>
      <c r="K54" s="71"/>
      <c r="L54" s="71"/>
      <c r="M54" s="71">
        <v>100</v>
      </c>
      <c r="N54" s="71"/>
      <c r="O54" s="71">
        <v>1000</v>
      </c>
      <c r="P54" s="71"/>
      <c r="Q54" s="71"/>
      <c r="R54" s="71"/>
      <c r="S54" s="71"/>
      <c r="T54" s="71"/>
      <c r="U54" s="71"/>
      <c r="V54" s="61"/>
      <c r="W54" s="74">
        <f t="shared" si="9"/>
        <v>3100</v>
      </c>
    </row>
    <row r="55" spans="2:25" ht="24.95" customHeight="1" thickBot="1">
      <c r="B55" s="133"/>
      <c r="C55" s="67" t="s">
        <v>280</v>
      </c>
      <c r="D55" s="71"/>
      <c r="E55" s="71">
        <f>291170/11</f>
        <v>26470</v>
      </c>
      <c r="F55" s="71">
        <v>26470</v>
      </c>
      <c r="G55" s="71">
        <v>26470</v>
      </c>
      <c r="H55" s="71">
        <v>26470</v>
      </c>
      <c r="I55" s="71">
        <v>26470</v>
      </c>
      <c r="J55" s="71">
        <v>26470</v>
      </c>
      <c r="K55" s="71">
        <v>26470</v>
      </c>
      <c r="L55" s="71">
        <v>26470</v>
      </c>
      <c r="M55" s="71">
        <v>26470</v>
      </c>
      <c r="N55" s="71">
        <v>26470</v>
      </c>
      <c r="O55" s="71">
        <v>26470</v>
      </c>
      <c r="P55" s="71"/>
      <c r="Q55" s="71"/>
      <c r="R55" s="71"/>
      <c r="S55" s="71"/>
      <c r="T55" s="71"/>
      <c r="U55" s="71"/>
      <c r="V55" s="61"/>
      <c r="W55" s="74">
        <f>SUM(D55:U55)</f>
        <v>291170</v>
      </c>
    </row>
    <row r="56" spans="2:25" ht="24.95" customHeight="1" thickBot="1">
      <c r="B56" s="133"/>
      <c r="C56" s="67" t="s">
        <v>284</v>
      </c>
      <c r="D56" s="71"/>
      <c r="E56" s="71">
        <v>0</v>
      </c>
      <c r="F56" s="71">
        <v>5700</v>
      </c>
      <c r="G56" s="71">
        <v>10650</v>
      </c>
      <c r="H56" s="71">
        <v>5150</v>
      </c>
      <c r="I56" s="71">
        <v>4500</v>
      </c>
      <c r="J56" s="71">
        <v>4500</v>
      </c>
      <c r="K56" s="71">
        <v>1500</v>
      </c>
      <c r="L56" s="71">
        <v>2000</v>
      </c>
      <c r="M56" s="71">
        <v>500</v>
      </c>
      <c r="N56" s="71">
        <v>0</v>
      </c>
      <c r="O56" s="71">
        <v>0</v>
      </c>
      <c r="P56" s="71"/>
      <c r="Q56" s="71"/>
      <c r="R56" s="71"/>
      <c r="S56" s="71"/>
      <c r="T56" s="71"/>
      <c r="U56" s="71"/>
      <c r="V56" s="61"/>
      <c r="W56" s="74">
        <f t="shared" si="9"/>
        <v>34500</v>
      </c>
    </row>
  </sheetData>
  <mergeCells count="4">
    <mergeCell ref="AE31:AE34"/>
    <mergeCell ref="AG31:AG34"/>
    <mergeCell ref="B47:B50"/>
    <mergeCell ref="B52:B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B17" sqref="B17"/>
    </sheetView>
  </sheetViews>
  <sheetFormatPr defaultRowHeight="15"/>
  <cols>
    <col min="1" max="1" width="26.42578125" bestFit="1" customWidth="1"/>
    <col min="2" max="2" width="13.28515625" style="5" bestFit="1" customWidth="1"/>
  </cols>
  <sheetData>
    <row r="1" spans="1:2">
      <c r="A1" t="s">
        <v>155</v>
      </c>
      <c r="B1" s="5">
        <v>134.24139437622111</v>
      </c>
    </row>
    <row r="2" spans="1:2">
      <c r="A2" t="s">
        <v>30</v>
      </c>
      <c r="B2" s="5">
        <v>247.89395397660905</v>
      </c>
    </row>
    <row r="3" spans="1:2">
      <c r="A3" t="s">
        <v>45</v>
      </c>
      <c r="B3" s="5">
        <v>236.90944856477213</v>
      </c>
    </row>
    <row r="4" spans="1:2">
      <c r="A4" t="s">
        <v>73</v>
      </c>
      <c r="B4" s="5">
        <v>2000</v>
      </c>
    </row>
    <row r="5" spans="1:2">
      <c r="A5" t="s">
        <v>25</v>
      </c>
      <c r="B5" s="5">
        <v>155.57182168692589</v>
      </c>
    </row>
    <row r="6" spans="1:2">
      <c r="A6" t="s">
        <v>55</v>
      </c>
      <c r="B6" s="5">
        <v>350</v>
      </c>
    </row>
    <row r="7" spans="1:2">
      <c r="A7" t="s">
        <v>49</v>
      </c>
      <c r="B7" s="5">
        <v>1261.9047619047619</v>
      </c>
    </row>
    <row r="8" spans="1:2">
      <c r="A8" t="s">
        <v>69</v>
      </c>
      <c r="B8" s="5">
        <v>513.50426281564182</v>
      </c>
    </row>
    <row r="9" spans="1:2">
      <c r="A9" t="s">
        <v>18</v>
      </c>
      <c r="B9" s="5">
        <v>2317.9512940424352</v>
      </c>
    </row>
    <row r="10" spans="1:2">
      <c r="A10" t="s">
        <v>33</v>
      </c>
      <c r="B10" s="5">
        <v>2550.8020330415566</v>
      </c>
    </row>
    <row r="11" spans="1:2">
      <c r="A11" t="s">
        <v>51</v>
      </c>
      <c r="B11" s="5">
        <v>1283.6297966501836</v>
      </c>
    </row>
    <row r="12" spans="1:2">
      <c r="A12" t="s">
        <v>53</v>
      </c>
      <c r="B12" s="5">
        <v>78.445334999999986</v>
      </c>
    </row>
    <row r="13" spans="1:2">
      <c r="A13" t="s">
        <v>47</v>
      </c>
      <c r="B13" s="5">
        <v>15.222400000000006</v>
      </c>
    </row>
    <row r="14" spans="1:2">
      <c r="A14" t="s">
        <v>43</v>
      </c>
      <c r="B14" s="5">
        <v>39.299999999999997</v>
      </c>
    </row>
    <row r="15" spans="1:2">
      <c r="A15" t="s">
        <v>36</v>
      </c>
      <c r="B15" s="5">
        <v>13455.889210118192</v>
      </c>
    </row>
    <row r="16" spans="1:2">
      <c r="A16" t="s">
        <v>23</v>
      </c>
      <c r="B16" s="5">
        <v>350</v>
      </c>
    </row>
    <row r="17" spans="1:2">
      <c r="A17" t="s">
        <v>14</v>
      </c>
      <c r="B17" s="5">
        <v>36.400132810000002</v>
      </c>
    </row>
    <row r="18" spans="1:2">
      <c r="A18" t="s">
        <v>61</v>
      </c>
      <c r="B18" s="5">
        <v>327.25146699999999</v>
      </c>
    </row>
    <row r="19" spans="1:2">
      <c r="A19" t="s">
        <v>67</v>
      </c>
      <c r="B19" s="5">
        <v>111.67</v>
      </c>
    </row>
    <row r="20" spans="1:2">
      <c r="A20" t="s">
        <v>164</v>
      </c>
      <c r="B20" s="5">
        <v>49.707079999999983</v>
      </c>
    </row>
    <row r="21" spans="1:2">
      <c r="A21" t="s">
        <v>71</v>
      </c>
      <c r="B21" s="5">
        <v>6</v>
      </c>
    </row>
    <row r="22" spans="1:2">
      <c r="A22" t="s">
        <v>59</v>
      </c>
      <c r="B22" s="5">
        <v>31.043507801912533</v>
      </c>
    </row>
    <row r="23" spans="1:2">
      <c r="A23" t="s">
        <v>65</v>
      </c>
      <c r="B23" s="5">
        <v>162.85785630043145</v>
      </c>
    </row>
    <row r="24" spans="1:2">
      <c r="A24" t="s">
        <v>63</v>
      </c>
      <c r="B24" s="5">
        <v>520</v>
      </c>
    </row>
    <row r="25" spans="1:2">
      <c r="A25" t="s">
        <v>162</v>
      </c>
      <c r="B25" s="5">
        <v>111.22574674641417</v>
      </c>
    </row>
    <row r="26" spans="1:2">
      <c r="A26" t="s">
        <v>38</v>
      </c>
      <c r="B26" s="5">
        <v>7</v>
      </c>
    </row>
    <row r="27" spans="1:2">
      <c r="A27" t="s">
        <v>57</v>
      </c>
      <c r="B27" s="5">
        <v>160.77478755454416</v>
      </c>
    </row>
    <row r="28" spans="1:2">
      <c r="A28" t="s">
        <v>40</v>
      </c>
      <c r="B28" s="5">
        <v>295.46807160325829</v>
      </c>
    </row>
    <row r="29" spans="1:2">
      <c r="A29" t="s">
        <v>153</v>
      </c>
      <c r="B29" s="5">
        <v>209.65947672607118</v>
      </c>
    </row>
    <row r="30" spans="1:2">
      <c r="A30" t="s">
        <v>21</v>
      </c>
      <c r="B30" s="5">
        <v>3866.9904848461024</v>
      </c>
    </row>
    <row r="31" spans="1:2">
      <c r="A31" t="s">
        <v>203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C54F-9370-4EE4-925F-D3BF9694376F}">
  <dimension ref="A1:C120"/>
  <sheetViews>
    <sheetView topLeftCell="A49" workbookViewId="0">
      <selection activeCell="B79" sqref="B79"/>
    </sheetView>
  </sheetViews>
  <sheetFormatPr defaultRowHeight="15"/>
  <cols>
    <col min="1" max="1" width="31.28515625" bestFit="1" customWidth="1"/>
    <col min="2" max="2" width="12.85546875" style="4" bestFit="1" customWidth="1"/>
    <col min="3" max="3" width="11.85546875" style="4" bestFit="1" customWidth="1"/>
  </cols>
  <sheetData>
    <row r="1" spans="1:3">
      <c r="B1" s="4" t="s">
        <v>5</v>
      </c>
      <c r="C1" s="4" t="s">
        <v>6</v>
      </c>
    </row>
    <row r="2" spans="1:3">
      <c r="A2" t="s">
        <v>7</v>
      </c>
      <c r="B2" s="4">
        <v>44522</v>
      </c>
      <c r="C2" s="4">
        <v>44813</v>
      </c>
    </row>
    <row r="3" spans="1:3">
      <c r="A3" t="s">
        <v>11</v>
      </c>
      <c r="B3" s="4">
        <v>44522</v>
      </c>
      <c r="C3" s="4">
        <v>44564</v>
      </c>
    </row>
    <row r="4" spans="1:3">
      <c r="A4" t="s">
        <v>14</v>
      </c>
      <c r="B4" s="4">
        <v>44522</v>
      </c>
      <c r="C4" s="4">
        <v>44526</v>
      </c>
    </row>
    <row r="5" spans="1:3">
      <c r="A5" t="s">
        <v>411</v>
      </c>
      <c r="B5" s="4">
        <v>44529</v>
      </c>
      <c r="C5" s="4">
        <v>44540</v>
      </c>
    </row>
    <row r="6" spans="1:3">
      <c r="A6" t="s">
        <v>412</v>
      </c>
      <c r="B6" s="4">
        <v>44543</v>
      </c>
      <c r="C6" s="4">
        <v>44547</v>
      </c>
    </row>
    <row r="7" spans="1:3">
      <c r="A7" t="s">
        <v>413</v>
      </c>
      <c r="B7" s="4">
        <v>44550</v>
      </c>
      <c r="C7" s="4">
        <v>44554</v>
      </c>
    </row>
    <row r="8" spans="1:3">
      <c r="A8" t="s">
        <v>414</v>
      </c>
      <c r="B8" s="4">
        <v>44557</v>
      </c>
      <c r="C8" s="4">
        <v>44564</v>
      </c>
    </row>
    <row r="9" spans="1:3">
      <c r="A9" t="s">
        <v>27</v>
      </c>
      <c r="B9" s="4">
        <v>44565</v>
      </c>
      <c r="C9" s="4">
        <v>44802</v>
      </c>
    </row>
    <row r="10" spans="1:3">
      <c r="A10" t="s">
        <v>415</v>
      </c>
      <c r="B10" s="4">
        <v>44565</v>
      </c>
      <c r="C10" s="4">
        <v>44571</v>
      </c>
    </row>
    <row r="11" spans="1:3">
      <c r="A11" t="s">
        <v>416</v>
      </c>
      <c r="B11" s="4">
        <v>44572</v>
      </c>
      <c r="C11" s="4">
        <v>44578</v>
      </c>
    </row>
    <row r="12" spans="1:3">
      <c r="A12" t="s">
        <v>417</v>
      </c>
      <c r="B12" s="4">
        <v>44607</v>
      </c>
      <c r="C12" s="4">
        <v>44613</v>
      </c>
    </row>
    <row r="13" spans="1:3">
      <c r="A13" t="s">
        <v>418</v>
      </c>
      <c r="B13" s="4">
        <v>44621</v>
      </c>
      <c r="C13" s="4">
        <v>44627</v>
      </c>
    </row>
    <row r="14" spans="1:3">
      <c r="A14" t="s">
        <v>419</v>
      </c>
      <c r="B14" s="4">
        <v>44655</v>
      </c>
      <c r="C14" s="4">
        <v>44657</v>
      </c>
    </row>
    <row r="15" spans="1:3">
      <c r="A15" t="s">
        <v>420</v>
      </c>
      <c r="B15" s="4">
        <v>44657</v>
      </c>
      <c r="C15" s="4">
        <v>44664</v>
      </c>
    </row>
    <row r="16" spans="1:3">
      <c r="A16" t="s">
        <v>421</v>
      </c>
      <c r="B16" s="4">
        <v>44671</v>
      </c>
      <c r="C16" s="4">
        <v>44678</v>
      </c>
    </row>
    <row r="17" spans="1:3">
      <c r="A17" t="s">
        <v>422</v>
      </c>
      <c r="B17" s="4">
        <v>44685</v>
      </c>
      <c r="C17" s="4">
        <v>44692</v>
      </c>
    </row>
    <row r="18" spans="1:3">
      <c r="A18" t="s">
        <v>423</v>
      </c>
      <c r="B18" s="4">
        <v>44706</v>
      </c>
      <c r="C18" s="4">
        <v>44713</v>
      </c>
    </row>
    <row r="19" spans="1:3">
      <c r="A19" t="s">
        <v>424</v>
      </c>
      <c r="B19" s="4">
        <v>44713</v>
      </c>
      <c r="C19" s="4">
        <v>44720</v>
      </c>
    </row>
    <row r="20" spans="1:3">
      <c r="A20" t="s">
        <v>425</v>
      </c>
      <c r="B20" s="4">
        <v>44727</v>
      </c>
      <c r="C20" s="4">
        <v>44734</v>
      </c>
    </row>
    <row r="21" spans="1:3">
      <c r="A21" t="s">
        <v>426</v>
      </c>
      <c r="B21" s="4">
        <v>44734</v>
      </c>
      <c r="C21" s="4">
        <v>44736</v>
      </c>
    </row>
    <row r="22" spans="1:3">
      <c r="A22" t="s">
        <v>427</v>
      </c>
      <c r="B22" s="4">
        <v>44734</v>
      </c>
      <c r="C22" s="4">
        <v>44741</v>
      </c>
    </row>
    <row r="23" spans="1:3">
      <c r="A23" t="s">
        <v>428</v>
      </c>
      <c r="B23" s="4">
        <v>44741</v>
      </c>
      <c r="C23" s="4">
        <v>44748</v>
      </c>
    </row>
    <row r="24" spans="1:3">
      <c r="A24" t="s">
        <v>429</v>
      </c>
      <c r="B24" s="4">
        <v>44754</v>
      </c>
      <c r="C24" s="4">
        <v>44756</v>
      </c>
    </row>
    <row r="25" spans="1:3">
      <c r="A25" t="s">
        <v>430</v>
      </c>
      <c r="B25" s="4">
        <v>44756</v>
      </c>
      <c r="C25" s="4">
        <v>44760</v>
      </c>
    </row>
    <row r="26" spans="1:3">
      <c r="A26" t="s">
        <v>431</v>
      </c>
      <c r="B26" s="4">
        <v>44761</v>
      </c>
      <c r="C26" s="4">
        <v>44767</v>
      </c>
    </row>
    <row r="27" spans="1:3">
      <c r="A27" t="s">
        <v>432</v>
      </c>
      <c r="B27" s="4">
        <v>44777</v>
      </c>
      <c r="C27" s="4">
        <v>44781</v>
      </c>
    </row>
    <row r="28" spans="1:3">
      <c r="A28" t="s">
        <v>433</v>
      </c>
      <c r="B28" s="4">
        <v>44777</v>
      </c>
      <c r="C28" s="4">
        <v>44781</v>
      </c>
    </row>
    <row r="29" spans="1:3">
      <c r="A29" t="s">
        <v>434</v>
      </c>
      <c r="B29" s="4">
        <v>44782</v>
      </c>
      <c r="C29" s="4">
        <v>44788</v>
      </c>
    </row>
    <row r="30" spans="1:3">
      <c r="A30" t="s">
        <v>435</v>
      </c>
      <c r="B30" s="4">
        <v>44798</v>
      </c>
      <c r="C30" s="4">
        <v>44802</v>
      </c>
    </row>
    <row r="31" spans="1:3">
      <c r="A31" t="s">
        <v>75</v>
      </c>
      <c r="B31" s="4">
        <v>44579</v>
      </c>
      <c r="C31" s="4">
        <v>44805</v>
      </c>
    </row>
    <row r="32" spans="1:3">
      <c r="A32" t="s">
        <v>436</v>
      </c>
      <c r="B32" s="4">
        <v>44579</v>
      </c>
      <c r="C32" s="4">
        <v>44585</v>
      </c>
    </row>
    <row r="33" spans="1:3">
      <c r="A33" t="s">
        <v>437</v>
      </c>
      <c r="B33" s="4">
        <v>44586</v>
      </c>
      <c r="C33" s="4">
        <v>44592</v>
      </c>
    </row>
    <row r="34" spans="1:3">
      <c r="A34" t="s">
        <v>438</v>
      </c>
      <c r="B34" s="4">
        <v>44614</v>
      </c>
      <c r="C34" s="4">
        <v>44620</v>
      </c>
    </row>
    <row r="35" spans="1:3">
      <c r="A35" t="s">
        <v>439</v>
      </c>
      <c r="B35" s="4">
        <v>44628</v>
      </c>
      <c r="C35" s="4">
        <v>44634</v>
      </c>
    </row>
    <row r="36" spans="1:3">
      <c r="A36" t="s">
        <v>440</v>
      </c>
      <c r="B36" s="4">
        <v>44657</v>
      </c>
      <c r="C36" s="4">
        <v>44659</v>
      </c>
    </row>
    <row r="37" spans="1:3">
      <c r="A37" t="s">
        <v>441</v>
      </c>
      <c r="B37" s="4">
        <v>44664</v>
      </c>
      <c r="C37" s="4">
        <v>44671</v>
      </c>
    </row>
    <row r="38" spans="1:3">
      <c r="A38" t="s">
        <v>442</v>
      </c>
      <c r="B38" s="4">
        <v>44678</v>
      </c>
      <c r="C38" s="4">
        <v>44685</v>
      </c>
    </row>
    <row r="39" spans="1:3">
      <c r="A39" t="s">
        <v>443</v>
      </c>
      <c r="B39" s="4">
        <v>44692</v>
      </c>
      <c r="C39" s="4">
        <v>44699</v>
      </c>
    </row>
    <row r="40" spans="1:3">
      <c r="A40" t="s">
        <v>444</v>
      </c>
      <c r="B40" s="4">
        <v>44713</v>
      </c>
      <c r="C40" s="4">
        <v>44720</v>
      </c>
    </row>
    <row r="41" spans="1:3">
      <c r="A41" t="s">
        <v>445</v>
      </c>
      <c r="B41" s="4">
        <v>44720</v>
      </c>
      <c r="C41" s="4">
        <v>44727</v>
      </c>
    </row>
    <row r="42" spans="1:3">
      <c r="A42" t="s">
        <v>446</v>
      </c>
      <c r="B42" s="4">
        <v>44734</v>
      </c>
      <c r="C42" s="4">
        <v>44741</v>
      </c>
    </row>
    <row r="43" spans="1:3">
      <c r="A43" t="s">
        <v>447</v>
      </c>
      <c r="B43" s="4">
        <v>44741</v>
      </c>
      <c r="C43" s="4">
        <v>44743</v>
      </c>
    </row>
    <row r="44" spans="1:3">
      <c r="A44" t="s">
        <v>448</v>
      </c>
      <c r="B44" s="4">
        <v>44741</v>
      </c>
      <c r="C44" s="4">
        <v>44748</v>
      </c>
    </row>
    <row r="45" spans="1:3">
      <c r="A45" t="s">
        <v>449</v>
      </c>
      <c r="B45" s="4">
        <v>44748</v>
      </c>
      <c r="C45" s="4">
        <v>44755</v>
      </c>
    </row>
    <row r="46" spans="1:3">
      <c r="A46" t="s">
        <v>450</v>
      </c>
      <c r="B46" s="4">
        <v>44756</v>
      </c>
      <c r="C46" s="4">
        <v>44760</v>
      </c>
    </row>
    <row r="47" spans="1:3">
      <c r="A47" t="s">
        <v>451</v>
      </c>
      <c r="B47" s="4">
        <v>44761</v>
      </c>
      <c r="C47" s="4">
        <v>44763</v>
      </c>
    </row>
    <row r="48" spans="1:3">
      <c r="A48" t="s">
        <v>452</v>
      </c>
      <c r="B48" s="4">
        <v>44768</v>
      </c>
      <c r="C48" s="4">
        <v>44774</v>
      </c>
    </row>
    <row r="49" spans="1:3">
      <c r="A49" t="s">
        <v>453</v>
      </c>
      <c r="B49" s="4">
        <v>44782</v>
      </c>
      <c r="C49" s="4">
        <v>44784</v>
      </c>
    </row>
    <row r="50" spans="1:3">
      <c r="A50" t="s">
        <v>454</v>
      </c>
      <c r="B50" s="4">
        <v>44782</v>
      </c>
      <c r="C50" s="4">
        <v>44784</v>
      </c>
    </row>
    <row r="51" spans="1:3">
      <c r="A51" t="s">
        <v>455</v>
      </c>
      <c r="B51" s="4">
        <v>44789</v>
      </c>
      <c r="C51" s="4">
        <v>44795</v>
      </c>
    </row>
    <row r="52" spans="1:3">
      <c r="A52" t="s">
        <v>456</v>
      </c>
      <c r="B52" s="4">
        <v>44803</v>
      </c>
      <c r="C52" s="4">
        <v>44805</v>
      </c>
    </row>
    <row r="53" spans="1:3">
      <c r="A53" t="s">
        <v>99</v>
      </c>
      <c r="B53" s="4">
        <v>44593</v>
      </c>
      <c r="C53" s="4">
        <v>44809</v>
      </c>
    </row>
    <row r="54" spans="1:3">
      <c r="A54" t="s">
        <v>457</v>
      </c>
      <c r="B54" s="4">
        <v>44593</v>
      </c>
      <c r="C54" s="4">
        <v>44599</v>
      </c>
    </row>
    <row r="55" spans="1:3">
      <c r="A55" t="s">
        <v>458</v>
      </c>
      <c r="B55" s="4">
        <v>44600</v>
      </c>
      <c r="C55" s="4">
        <v>44606</v>
      </c>
    </row>
    <row r="56" spans="1:3">
      <c r="A56" t="s">
        <v>459</v>
      </c>
      <c r="B56" s="4">
        <v>44621</v>
      </c>
      <c r="C56" s="4">
        <v>44627</v>
      </c>
    </row>
    <row r="57" spans="1:3">
      <c r="A57" t="s">
        <v>460</v>
      </c>
      <c r="B57" s="4">
        <v>44641</v>
      </c>
      <c r="C57" s="4">
        <v>44645</v>
      </c>
    </row>
    <row r="58" spans="1:3">
      <c r="A58" t="s">
        <v>461</v>
      </c>
      <c r="B58" s="4">
        <v>44662</v>
      </c>
      <c r="C58" s="4">
        <v>44664</v>
      </c>
    </row>
    <row r="59" spans="1:3">
      <c r="A59" t="s">
        <v>462</v>
      </c>
      <c r="B59" s="4">
        <v>44671</v>
      </c>
      <c r="C59" s="4">
        <v>44678</v>
      </c>
    </row>
    <row r="60" spans="1:3">
      <c r="A60" t="s">
        <v>463</v>
      </c>
      <c r="B60" s="4">
        <v>44685</v>
      </c>
      <c r="C60" s="4">
        <v>44692</v>
      </c>
    </row>
    <row r="61" spans="1:3">
      <c r="A61" t="s">
        <v>464</v>
      </c>
      <c r="B61" s="4">
        <v>44699</v>
      </c>
      <c r="C61" s="4">
        <v>44706</v>
      </c>
    </row>
    <row r="62" spans="1:3">
      <c r="A62" t="s">
        <v>465</v>
      </c>
      <c r="B62" s="4">
        <v>44720</v>
      </c>
      <c r="C62" s="4">
        <v>44727</v>
      </c>
    </row>
    <row r="63" spans="1:3">
      <c r="A63" t="s">
        <v>466</v>
      </c>
      <c r="B63" s="4">
        <v>44727</v>
      </c>
      <c r="C63" s="4">
        <v>44734</v>
      </c>
    </row>
    <row r="64" spans="1:3">
      <c r="A64" t="s">
        <v>467</v>
      </c>
      <c r="B64" s="4">
        <v>44741</v>
      </c>
      <c r="C64" s="4">
        <v>44748</v>
      </c>
    </row>
    <row r="65" spans="1:3">
      <c r="A65" t="s">
        <v>468</v>
      </c>
      <c r="B65" s="4">
        <v>44748</v>
      </c>
      <c r="C65" s="4">
        <v>44750</v>
      </c>
    </row>
    <row r="66" spans="1:3">
      <c r="A66" t="s">
        <v>469</v>
      </c>
      <c r="B66" s="4">
        <v>44748</v>
      </c>
      <c r="C66" s="4">
        <v>44755</v>
      </c>
    </row>
    <row r="67" spans="1:3">
      <c r="A67" t="s">
        <v>470</v>
      </c>
      <c r="B67" s="4">
        <v>44755</v>
      </c>
      <c r="C67" s="4">
        <v>44762</v>
      </c>
    </row>
    <row r="68" spans="1:3">
      <c r="A68" t="s">
        <v>471</v>
      </c>
      <c r="B68" s="4">
        <v>44762</v>
      </c>
      <c r="C68" s="4">
        <v>44764</v>
      </c>
    </row>
    <row r="69" spans="1:3">
      <c r="A69" t="s">
        <v>472</v>
      </c>
      <c r="B69" s="4">
        <v>44767</v>
      </c>
      <c r="C69" s="4">
        <v>44769</v>
      </c>
    </row>
    <row r="70" spans="1:3">
      <c r="A70" t="s">
        <v>473</v>
      </c>
      <c r="B70" s="4">
        <v>44775</v>
      </c>
      <c r="C70" s="4">
        <v>44781</v>
      </c>
    </row>
    <row r="71" spans="1:3">
      <c r="A71" t="s">
        <v>474</v>
      </c>
      <c r="B71" s="4">
        <v>44784</v>
      </c>
      <c r="C71" s="4">
        <v>44788</v>
      </c>
    </row>
    <row r="72" spans="1:3">
      <c r="A72" t="s">
        <v>475</v>
      </c>
      <c r="B72" s="4">
        <v>44784</v>
      </c>
      <c r="C72" s="4">
        <v>44788</v>
      </c>
    </row>
    <row r="73" spans="1:3">
      <c r="A73" t="s">
        <v>476</v>
      </c>
      <c r="B73" s="4">
        <v>44796</v>
      </c>
      <c r="C73" s="4">
        <v>44802</v>
      </c>
    </row>
    <row r="74" spans="1:3">
      <c r="A74" t="s">
        <v>477</v>
      </c>
      <c r="B74" s="4">
        <v>44805</v>
      </c>
      <c r="C74" s="4">
        <v>44809</v>
      </c>
    </row>
    <row r="75" spans="1:3">
      <c r="A75" t="s">
        <v>123</v>
      </c>
      <c r="B75" s="4">
        <v>44607</v>
      </c>
      <c r="C75" s="4">
        <v>44813</v>
      </c>
    </row>
    <row r="76" spans="1:3">
      <c r="A76" t="s">
        <v>478</v>
      </c>
      <c r="B76" s="4">
        <v>44607</v>
      </c>
      <c r="C76" s="4">
        <v>44613</v>
      </c>
    </row>
    <row r="77" spans="1:3">
      <c r="A77" t="s">
        <v>479</v>
      </c>
      <c r="B77" s="4">
        <v>44614</v>
      </c>
      <c r="C77" s="4">
        <v>44620</v>
      </c>
    </row>
    <row r="78" spans="1:3">
      <c r="A78" t="s">
        <v>480</v>
      </c>
      <c r="B78" s="4">
        <v>44635</v>
      </c>
      <c r="C78" s="4">
        <v>44640</v>
      </c>
    </row>
    <row r="79" spans="1:3">
      <c r="A79" t="s">
        <v>481</v>
      </c>
      <c r="B79" s="4">
        <v>44648</v>
      </c>
      <c r="C79" s="4">
        <v>44652</v>
      </c>
    </row>
    <row r="80" spans="1:3">
      <c r="A80" t="s">
        <v>482</v>
      </c>
      <c r="B80" s="4">
        <v>44664</v>
      </c>
      <c r="C80" s="4">
        <v>44666</v>
      </c>
    </row>
    <row r="81" spans="1:3">
      <c r="A81" t="s">
        <v>483</v>
      </c>
      <c r="B81" s="4">
        <v>44678</v>
      </c>
      <c r="C81" s="4">
        <v>44685</v>
      </c>
    </row>
    <row r="82" spans="1:3">
      <c r="A82" t="s">
        <v>484</v>
      </c>
      <c r="B82" s="4">
        <v>44692</v>
      </c>
      <c r="C82" s="4">
        <v>44699</v>
      </c>
    </row>
    <row r="83" spans="1:3">
      <c r="A83" t="s">
        <v>485</v>
      </c>
      <c r="B83" s="4">
        <v>44706</v>
      </c>
      <c r="C83" s="4">
        <v>44713</v>
      </c>
    </row>
    <row r="84" spans="1:3">
      <c r="A84" t="s">
        <v>486</v>
      </c>
      <c r="B84" s="4">
        <v>44727</v>
      </c>
      <c r="C84" s="4">
        <v>44734</v>
      </c>
    </row>
    <row r="85" spans="1:3">
      <c r="A85" t="s">
        <v>487</v>
      </c>
      <c r="B85" s="4">
        <v>44734</v>
      </c>
      <c r="C85" s="4">
        <v>44741</v>
      </c>
    </row>
    <row r="86" spans="1:3">
      <c r="A86" t="s">
        <v>488</v>
      </c>
      <c r="B86" s="4">
        <v>44748</v>
      </c>
      <c r="C86" s="4">
        <v>44755</v>
      </c>
    </row>
    <row r="87" spans="1:3">
      <c r="A87" t="s">
        <v>489</v>
      </c>
      <c r="B87" s="4">
        <v>44755</v>
      </c>
      <c r="C87" s="4">
        <v>44757</v>
      </c>
    </row>
    <row r="88" spans="1:3">
      <c r="A88" t="s">
        <v>490</v>
      </c>
      <c r="B88" s="4">
        <v>44755</v>
      </c>
      <c r="C88" s="4">
        <v>44762</v>
      </c>
    </row>
    <row r="89" spans="1:3">
      <c r="A89" t="s">
        <v>491</v>
      </c>
      <c r="B89" s="4">
        <v>44762</v>
      </c>
      <c r="C89" s="4">
        <v>44769</v>
      </c>
    </row>
    <row r="90" spans="1:3">
      <c r="A90" t="s">
        <v>492</v>
      </c>
      <c r="B90" s="4">
        <v>44769</v>
      </c>
      <c r="C90" s="4">
        <v>44771</v>
      </c>
    </row>
    <row r="91" spans="1:3">
      <c r="A91" t="s">
        <v>493</v>
      </c>
      <c r="B91" s="4">
        <v>44774</v>
      </c>
      <c r="C91" s="4">
        <v>44776</v>
      </c>
    </row>
    <row r="92" spans="1:3">
      <c r="A92" t="s">
        <v>494</v>
      </c>
      <c r="B92" s="4">
        <v>44782</v>
      </c>
      <c r="C92" s="4">
        <v>44788</v>
      </c>
    </row>
    <row r="93" spans="1:3">
      <c r="A93" t="s">
        <v>495</v>
      </c>
      <c r="B93" s="4">
        <v>44789</v>
      </c>
      <c r="C93" s="4">
        <v>44791</v>
      </c>
    </row>
    <row r="94" spans="1:3">
      <c r="A94" t="s">
        <v>496</v>
      </c>
      <c r="B94" s="4">
        <v>44789</v>
      </c>
      <c r="C94" s="4">
        <v>44791</v>
      </c>
    </row>
    <row r="95" spans="1:3">
      <c r="A95" t="s">
        <v>497</v>
      </c>
      <c r="B95" s="4">
        <v>44803</v>
      </c>
      <c r="C95" s="4">
        <v>44809</v>
      </c>
    </row>
    <row r="96" spans="1:3">
      <c r="A96" t="s">
        <v>498</v>
      </c>
      <c r="B96" s="4">
        <v>44810</v>
      </c>
      <c r="C96" s="4">
        <v>44813</v>
      </c>
    </row>
    <row r="97" spans="1:3">
      <c r="A97" t="s">
        <v>147</v>
      </c>
      <c r="B97" s="4">
        <v>44621</v>
      </c>
      <c r="C97" s="4">
        <v>44680</v>
      </c>
    </row>
    <row r="98" spans="1:3">
      <c r="A98" t="s">
        <v>499</v>
      </c>
      <c r="B98" s="4">
        <v>44621</v>
      </c>
      <c r="C98" s="4">
        <v>44627</v>
      </c>
    </row>
    <row r="99" spans="1:3">
      <c r="A99" t="s">
        <v>500</v>
      </c>
      <c r="B99" s="4">
        <v>44641</v>
      </c>
      <c r="C99" s="4">
        <v>44645</v>
      </c>
    </row>
    <row r="100" spans="1:3">
      <c r="A100" t="s">
        <v>501</v>
      </c>
      <c r="B100" s="4">
        <v>44648</v>
      </c>
      <c r="C100" s="4">
        <v>44652</v>
      </c>
    </row>
    <row r="101" spans="1:3">
      <c r="A101" t="s">
        <v>502</v>
      </c>
      <c r="B101" s="4">
        <v>44673</v>
      </c>
      <c r="C101" s="4">
        <v>44680</v>
      </c>
    </row>
    <row r="102" spans="1:3">
      <c r="A102" t="s">
        <v>156</v>
      </c>
      <c r="B102" s="4">
        <v>44645</v>
      </c>
      <c r="C102" s="4">
        <v>44756</v>
      </c>
    </row>
    <row r="103" spans="1:3">
      <c r="A103" t="s">
        <v>159</v>
      </c>
      <c r="B103" s="4">
        <v>44645</v>
      </c>
      <c r="C103" s="4">
        <v>44721</v>
      </c>
    </row>
    <row r="104" spans="1:3">
      <c r="A104" t="s">
        <v>503</v>
      </c>
      <c r="B104" s="4">
        <v>44645</v>
      </c>
      <c r="C104" s="4">
        <v>44652</v>
      </c>
    </row>
    <row r="105" spans="1:3">
      <c r="A105" t="s">
        <v>504</v>
      </c>
      <c r="B105" s="4">
        <v>44715</v>
      </c>
      <c r="C105" s="4">
        <v>44721</v>
      </c>
    </row>
    <row r="106" spans="1:3">
      <c r="A106" t="s">
        <v>166</v>
      </c>
      <c r="B106" s="4">
        <v>44652</v>
      </c>
      <c r="C106" s="4">
        <v>44728</v>
      </c>
    </row>
    <row r="107" spans="1:3">
      <c r="A107" t="s">
        <v>505</v>
      </c>
      <c r="B107" s="4">
        <v>44652</v>
      </c>
      <c r="C107" s="4">
        <v>44659</v>
      </c>
    </row>
    <row r="108" spans="1:3">
      <c r="A108" t="s">
        <v>506</v>
      </c>
      <c r="B108" s="4">
        <v>44722</v>
      </c>
      <c r="C108" s="4">
        <v>44728</v>
      </c>
    </row>
    <row r="109" spans="1:3">
      <c r="A109" t="s">
        <v>170</v>
      </c>
      <c r="B109" s="4">
        <v>44659</v>
      </c>
      <c r="C109" s="4">
        <v>44735</v>
      </c>
    </row>
    <row r="110" spans="1:3">
      <c r="A110" t="s">
        <v>507</v>
      </c>
      <c r="B110" s="4">
        <v>44659</v>
      </c>
      <c r="C110" s="4">
        <v>44666</v>
      </c>
    </row>
    <row r="111" spans="1:3">
      <c r="A111" t="s">
        <v>508</v>
      </c>
      <c r="B111" s="4">
        <v>44729</v>
      </c>
      <c r="C111" s="4">
        <v>44735</v>
      </c>
    </row>
    <row r="112" spans="1:3">
      <c r="A112" t="s">
        <v>174</v>
      </c>
      <c r="B112" s="4">
        <v>44666</v>
      </c>
      <c r="C112" s="4">
        <v>44742</v>
      </c>
    </row>
    <row r="113" spans="1:3">
      <c r="A113" t="s">
        <v>509</v>
      </c>
      <c r="B113" s="4">
        <v>44666</v>
      </c>
      <c r="C113" s="4">
        <v>44673</v>
      </c>
    </row>
    <row r="114" spans="1:3">
      <c r="A114" t="s">
        <v>510</v>
      </c>
      <c r="B114" s="4">
        <v>44736</v>
      </c>
      <c r="C114" s="4">
        <v>44742</v>
      </c>
    </row>
    <row r="115" spans="1:3">
      <c r="A115" t="s">
        <v>178</v>
      </c>
      <c r="B115" s="4">
        <v>44673</v>
      </c>
      <c r="C115" s="4">
        <v>44749</v>
      </c>
    </row>
    <row r="116" spans="1:3">
      <c r="A116" t="s">
        <v>511</v>
      </c>
      <c r="B116" s="4">
        <v>44673</v>
      </c>
      <c r="C116" s="4">
        <v>44680</v>
      </c>
    </row>
    <row r="117" spans="1:3">
      <c r="A117" t="s">
        <v>512</v>
      </c>
      <c r="B117" s="4">
        <v>44743</v>
      </c>
      <c r="C117" s="4">
        <v>44749</v>
      </c>
    </row>
    <row r="118" spans="1:3">
      <c r="A118" t="s">
        <v>182</v>
      </c>
      <c r="B118" s="4">
        <v>44680</v>
      </c>
      <c r="C118" s="4">
        <v>44756</v>
      </c>
    </row>
    <row r="119" spans="1:3">
      <c r="A119" t="s">
        <v>513</v>
      </c>
      <c r="B119" s="4">
        <v>44680</v>
      </c>
      <c r="C119" s="4">
        <v>44687</v>
      </c>
    </row>
    <row r="120" spans="1:3">
      <c r="A120" t="s">
        <v>514</v>
      </c>
      <c r="B120" s="4">
        <v>44750</v>
      </c>
      <c r="C120" s="4">
        <v>44756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J126"/>
  <sheetViews>
    <sheetView tabSelected="1" zoomScale="40" zoomScaleNormal="40" workbookViewId="0">
      <selection activeCell="L1" sqref="L1:M1"/>
    </sheetView>
  </sheetViews>
  <sheetFormatPr defaultRowHeight="15"/>
  <cols>
    <col min="2" max="2" width="29.140625" bestFit="1" customWidth="1"/>
    <col min="3" max="3" width="16.42578125" bestFit="1" customWidth="1"/>
    <col min="4" max="4" width="14" bestFit="1" customWidth="1"/>
    <col min="5" max="5" width="12.85546875" bestFit="1" customWidth="1"/>
    <col min="6" max="6" width="37.28515625" customWidth="1"/>
    <col min="7" max="7" width="18.28515625" style="34" customWidth="1"/>
    <col min="8" max="8" width="18" style="34" customWidth="1"/>
    <col min="9" max="9" width="18.7109375" style="33" customWidth="1"/>
    <col min="10" max="10" width="14" style="3" customWidth="1"/>
    <col min="11" max="11" width="15" style="3" customWidth="1"/>
    <col min="12" max="12" width="14" style="141" customWidth="1"/>
    <col min="13" max="13" width="15" customWidth="1"/>
    <col min="14" max="14" width="9.140625" style="7" customWidth="1"/>
    <col min="15" max="15" width="9.140625" style="3" customWidth="1"/>
    <col min="16" max="16" width="25.7109375" style="6" customWidth="1"/>
    <col min="17" max="18" width="16.5703125" style="3" customWidth="1"/>
    <col min="19" max="19" width="14" style="3" customWidth="1"/>
    <col min="20" max="20" width="15.42578125" style="33" customWidth="1"/>
    <col min="21" max="21" width="20.42578125" style="33" customWidth="1"/>
    <col min="22" max="23" width="27.85546875" customWidth="1"/>
    <col min="24" max="24" width="17.28515625" customWidth="1"/>
    <col min="25" max="25" width="16.85546875" customWidth="1"/>
    <col min="26" max="26" width="22.140625" customWidth="1"/>
    <col min="27" max="27" width="20" customWidth="1"/>
    <col min="28" max="28" width="14.85546875" customWidth="1"/>
    <col min="29" max="29" width="16.42578125" customWidth="1"/>
    <col min="30" max="30" width="18" style="33" customWidth="1"/>
    <col min="31" max="31" width="18" style="34" customWidth="1"/>
    <col min="32" max="32" width="27.28515625" style="143" customWidth="1"/>
    <col min="33" max="33" width="27.28515625" style="5" customWidth="1"/>
    <col min="34" max="34" width="21.42578125" style="3" customWidth="1"/>
    <col min="35" max="35" width="23.28515625" style="3" customWidth="1"/>
    <col min="36" max="36" width="16.5703125" style="7" customWidth="1"/>
  </cols>
  <sheetData>
    <row r="1" spans="1:36" ht="15.75" thickBot="1">
      <c r="G1" s="117" t="s">
        <v>210</v>
      </c>
      <c r="H1" s="117"/>
      <c r="I1" s="104" t="s">
        <v>517</v>
      </c>
      <c r="J1" s="134" t="s">
        <v>211</v>
      </c>
      <c r="K1" s="134"/>
      <c r="L1" s="135" t="s">
        <v>287</v>
      </c>
      <c r="M1" s="135"/>
      <c r="N1" s="146" t="s">
        <v>282</v>
      </c>
      <c r="O1" s="146"/>
      <c r="P1" s="146"/>
      <c r="Q1" s="147"/>
      <c r="R1" s="148" t="s">
        <v>403</v>
      </c>
      <c r="S1" s="149"/>
      <c r="T1" s="136" t="s">
        <v>404</v>
      </c>
      <c r="U1" s="137"/>
      <c r="V1" s="137"/>
      <c r="W1" s="137"/>
      <c r="X1" s="137"/>
      <c r="Y1" s="138"/>
      <c r="Z1" s="118" t="s">
        <v>402</v>
      </c>
      <c r="AA1" s="119"/>
      <c r="AB1" s="119"/>
      <c r="AC1" s="120"/>
      <c r="AD1" s="136" t="s">
        <v>210</v>
      </c>
      <c r="AE1" s="138"/>
      <c r="AF1" s="151" t="s">
        <v>211</v>
      </c>
      <c r="AG1" s="150"/>
      <c r="AH1" s="152" t="s">
        <v>287</v>
      </c>
      <c r="AI1" s="153"/>
      <c r="AJ1" s="154"/>
    </row>
    <row r="2" spans="1:36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515</v>
      </c>
      <c r="G2" s="80" t="s">
        <v>5</v>
      </c>
      <c r="H2" s="80" t="s">
        <v>6</v>
      </c>
      <c r="I2" s="105" t="s">
        <v>518</v>
      </c>
      <c r="J2" s="81" t="s">
        <v>288</v>
      </c>
      <c r="K2" s="81" t="s">
        <v>289</v>
      </c>
      <c r="L2" s="139" t="s">
        <v>290</v>
      </c>
      <c r="M2" s="82" t="s">
        <v>289</v>
      </c>
      <c r="N2" s="83" t="s">
        <v>185</v>
      </c>
      <c r="O2" s="84" t="s">
        <v>202</v>
      </c>
      <c r="P2" s="85" t="s">
        <v>186</v>
      </c>
      <c r="Q2" s="84" t="s">
        <v>187</v>
      </c>
      <c r="R2" s="84" t="s">
        <v>204</v>
      </c>
      <c r="S2" s="84" t="s">
        <v>205</v>
      </c>
      <c r="T2" s="86" t="s">
        <v>218</v>
      </c>
      <c r="U2" s="86" t="s">
        <v>219</v>
      </c>
      <c r="V2" s="84" t="s">
        <v>245</v>
      </c>
      <c r="W2" s="84" t="s">
        <v>244</v>
      </c>
      <c r="X2" s="84" t="s">
        <v>246</v>
      </c>
      <c r="Y2" s="84" t="s">
        <v>247</v>
      </c>
      <c r="Z2" s="93" t="s">
        <v>291</v>
      </c>
      <c r="AA2" s="94" t="s">
        <v>292</v>
      </c>
      <c r="AB2" s="94" t="s">
        <v>293</v>
      </c>
      <c r="AC2" s="94" t="s">
        <v>294</v>
      </c>
      <c r="AD2" s="86" t="s">
        <v>405</v>
      </c>
      <c r="AE2" s="86" t="s">
        <v>406</v>
      </c>
      <c r="AF2" s="142" t="s">
        <v>516</v>
      </c>
      <c r="AG2" s="103" t="s">
        <v>410</v>
      </c>
      <c r="AH2" s="98" t="s">
        <v>407</v>
      </c>
      <c r="AI2" s="98" t="s">
        <v>408</v>
      </c>
      <c r="AJ2" s="99" t="s">
        <v>409</v>
      </c>
    </row>
    <row r="3" spans="1:36">
      <c r="A3" s="108">
        <v>1</v>
      </c>
      <c r="B3" s="108" t="s">
        <v>7</v>
      </c>
      <c r="C3" s="108"/>
      <c r="D3" s="108"/>
      <c r="E3" s="108" t="s">
        <v>8</v>
      </c>
      <c r="F3" s="108" t="str">
        <f>CONCATENATE(B3,Z3)</f>
        <v>ESTRUTURA/ACABAMENTO</v>
      </c>
      <c r="G3" s="109">
        <v>44522</v>
      </c>
      <c r="H3" s="109">
        <v>44813</v>
      </c>
      <c r="I3" s="110"/>
      <c r="J3" s="111"/>
      <c r="K3" s="111"/>
      <c r="L3" s="140"/>
      <c r="M3" s="108"/>
      <c r="N3" s="111" t="s">
        <v>9</v>
      </c>
      <c r="O3" s="111"/>
      <c r="P3" s="112"/>
      <c r="Q3" s="111"/>
      <c r="R3" s="111">
        <f>VLOOKUP(G3,SEMANAS!$B$1:$C$301,2,0)</f>
        <v>1</v>
      </c>
      <c r="S3" s="111">
        <f>VLOOKUP(H3,SEMANAS!$B$1:$C$301,2,0)</f>
        <v>42</v>
      </c>
      <c r="T3" s="110"/>
      <c r="U3" s="110"/>
      <c r="V3" s="113"/>
      <c r="W3" s="113"/>
      <c r="X3" s="109"/>
      <c r="Y3" s="109"/>
      <c r="Z3" s="106"/>
      <c r="AA3" s="107" t="s">
        <v>9</v>
      </c>
      <c r="AB3" s="107"/>
      <c r="AC3" s="107"/>
      <c r="AD3" s="110"/>
      <c r="AE3" s="109"/>
      <c r="AF3" s="144"/>
      <c r="AG3" s="114"/>
      <c r="AH3" s="111"/>
      <c r="AI3" s="111"/>
      <c r="AJ3" s="115"/>
    </row>
    <row r="4" spans="1:36">
      <c r="A4" s="108" t="s">
        <v>10</v>
      </c>
      <c r="B4" s="108" t="s">
        <v>11</v>
      </c>
      <c r="C4" s="108"/>
      <c r="D4" s="108"/>
      <c r="E4" s="108" t="s">
        <v>12</v>
      </c>
      <c r="F4" s="108" t="str">
        <f t="shared" ref="F4:F67" si="0">CONCATENATE(B4,Z4)</f>
        <v>FUND</v>
      </c>
      <c r="G4" s="109">
        <v>44522</v>
      </c>
      <c r="H4" s="109">
        <v>44564</v>
      </c>
      <c r="I4" s="110"/>
      <c r="J4" s="111"/>
      <c r="K4" s="111"/>
      <c r="L4" s="140"/>
      <c r="M4" s="108"/>
      <c r="N4" s="111" t="s">
        <v>9</v>
      </c>
      <c r="O4" s="111"/>
      <c r="P4" s="112"/>
      <c r="Q4" s="111"/>
      <c r="R4" s="111">
        <f>VLOOKUP(G4,SEMANAS!$B$1:$C$301,2,0)</f>
        <v>1</v>
      </c>
      <c r="S4" s="111">
        <f>VLOOKUP(H4,SEMANAS!$B$1:$C$301,2,0)</f>
        <v>7</v>
      </c>
      <c r="T4" s="110"/>
      <c r="U4" s="110"/>
      <c r="V4" s="113"/>
      <c r="W4" s="113"/>
      <c r="X4" s="109"/>
      <c r="Y4" s="109"/>
      <c r="Z4" s="106"/>
      <c r="AA4" s="107" t="s">
        <v>9</v>
      </c>
      <c r="AB4" s="107"/>
      <c r="AC4" s="107"/>
      <c r="AD4" s="110"/>
      <c r="AE4" s="109"/>
      <c r="AF4" s="144"/>
      <c r="AG4" s="114"/>
      <c r="AH4" s="111"/>
      <c r="AI4" s="111"/>
      <c r="AJ4" s="115"/>
    </row>
    <row r="5" spans="1:36" hidden="1">
      <c r="A5" t="s">
        <v>13</v>
      </c>
      <c r="B5" t="s">
        <v>14</v>
      </c>
      <c r="D5" t="s">
        <v>15</v>
      </c>
      <c r="E5" t="s">
        <v>16</v>
      </c>
      <c r="F5" s="97" t="str">
        <f t="shared" si="0"/>
        <v>Locação e Gabarito</v>
      </c>
      <c r="G5" s="80">
        <v>44522</v>
      </c>
      <c r="H5" s="80">
        <v>44526</v>
      </c>
      <c r="I5" s="105">
        <v>1</v>
      </c>
      <c r="J5" s="116">
        <v>44522</v>
      </c>
      <c r="K5" s="116">
        <v>44526</v>
      </c>
      <c r="L5" s="139" t="str">
        <f>IF(J5&gt;0,"executado",VLOOKUP(F5,REPLAN!$A$6:$C$127,2,0))</f>
        <v>executado</v>
      </c>
      <c r="M5" s="139" t="str">
        <f>IF(J5&gt;0,"executado",VLOOKUP(F5,REPLAN!$A$6:$C$127,3,0))</f>
        <v>executado</v>
      </c>
      <c r="N5" s="88">
        <v>74.739999999999995</v>
      </c>
      <c r="O5" s="88" t="s">
        <v>195</v>
      </c>
      <c r="P5" s="89">
        <f>VLOOKUP(B5,'CUSTO ATIVIDADE'!$A$1:$B$30,2,0)</f>
        <v>36.400132810000002</v>
      </c>
      <c r="Q5" s="91">
        <f>P5*N5</f>
        <v>2720.5459262193999</v>
      </c>
      <c r="R5" s="88">
        <f>VLOOKUP(G5,SEMANAS!$B$1:$C$301,2,0)</f>
        <v>1</v>
      </c>
      <c r="S5" s="88">
        <f>VLOOKUP(H5,SEMANAS!$B$1:$C$301,2,0)</f>
        <v>1</v>
      </c>
      <c r="T5" s="90">
        <f>VLOOKUP(B5,'MT-MO'!$A$3:$C$31,2,0)</f>
        <v>0.56523337008452779</v>
      </c>
      <c r="U5" s="90">
        <f>VLOOKUP(B5,'MT-MO'!$A$3:$C$31,3,0)</f>
        <v>0.43476662991547227</v>
      </c>
      <c r="V5" s="92">
        <f>T5*Q5</f>
        <v>1537.7433423467246</v>
      </c>
      <c r="W5" s="92">
        <f>U5*Q5</f>
        <v>1182.8025838726755</v>
      </c>
      <c r="X5" s="80">
        <f>G5-15</f>
        <v>44507</v>
      </c>
      <c r="Y5" s="80">
        <f>H5+15</f>
        <v>44541</v>
      </c>
      <c r="Z5" s="95"/>
      <c r="AA5" s="96"/>
      <c r="AB5" s="96"/>
      <c r="AC5" s="96"/>
      <c r="AD5" s="90">
        <v>1</v>
      </c>
      <c r="AE5" s="89">
        <f>AD5*Q5</f>
        <v>2720.5459262193999</v>
      </c>
      <c r="AF5" s="145">
        <f>IFERROR(VLOOKUP(K5,SEMANAS!$B$1:$C$301,2,0),"EXE")</f>
        <v>1</v>
      </c>
      <c r="AG5" s="102">
        <f>Q5*I5</f>
        <v>2720.5459262193999</v>
      </c>
      <c r="AH5" s="100" t="str">
        <f>IFERROR(VLOOKUP(L5,SEMANAS!$B$1:$C$301,2,0),"EXE")</f>
        <v>EXE</v>
      </c>
      <c r="AI5" s="100" t="str">
        <f>IFERROR(VLOOKUP(M5,SEMANAS!$B$1:$C$301,2,0),"EXE")</f>
        <v>EXE</v>
      </c>
      <c r="AJ5" s="101">
        <f>IF(AI5="EXE",0,Q5)</f>
        <v>0</v>
      </c>
    </row>
    <row r="6" spans="1:36" hidden="1">
      <c r="A6" t="s">
        <v>17</v>
      </c>
      <c r="B6" t="s">
        <v>18</v>
      </c>
      <c r="D6" t="s">
        <v>15</v>
      </c>
      <c r="E6" t="s">
        <v>19</v>
      </c>
      <c r="F6" s="97" t="str">
        <f t="shared" si="0"/>
        <v>EstacasFUND</v>
      </c>
      <c r="G6" s="80">
        <v>44529</v>
      </c>
      <c r="H6" s="80">
        <v>44540</v>
      </c>
      <c r="I6" s="105">
        <v>1</v>
      </c>
      <c r="J6" s="116">
        <v>44529</v>
      </c>
      <c r="K6" s="116">
        <v>44540</v>
      </c>
      <c r="L6" s="139" t="str">
        <f>IF(J6&gt;0,"executado",VLOOKUP(F6,REPLAN!$A$6:$C$127,2,0))</f>
        <v>executado</v>
      </c>
      <c r="M6" s="139" t="str">
        <f>IF(J6&gt;0,"executado",VLOOKUP(F6,REPLAN!$A$6:$C$127,3,0))</f>
        <v>executado</v>
      </c>
      <c r="N6" s="88">
        <v>14.82</v>
      </c>
      <c r="O6" s="88" t="s">
        <v>196</v>
      </c>
      <c r="P6" s="89">
        <f>VLOOKUP(B6,'CUSTO ATIVIDADE'!$A$1:$B$30,2,0)</f>
        <v>2317.9512940424352</v>
      </c>
      <c r="Q6" s="91">
        <f t="shared" ref="Q6:Q9" si="1">P6*N6</f>
        <v>34352.038177708891</v>
      </c>
      <c r="R6" s="88">
        <f>VLOOKUP(G6,SEMANAS!$B$1:$C$301,2,0)</f>
        <v>2</v>
      </c>
      <c r="S6" s="88">
        <f>VLOOKUP(H6,SEMANAS!$B$1:$C$301,2,0)</f>
        <v>3</v>
      </c>
      <c r="T6" s="90">
        <f>VLOOKUP(B6,'MT-MO'!$A$3:$C$31,2,0)</f>
        <v>0.78946296026779217</v>
      </c>
      <c r="U6" s="90">
        <f>VLOOKUP(B6,'MT-MO'!$A$3:$C$31,3,0)</f>
        <v>0.21053703973220783</v>
      </c>
      <c r="V6" s="92">
        <f t="shared" ref="V6:V69" si="2">T6*Q6</f>
        <v>27119.661751006275</v>
      </c>
      <c r="W6" s="92">
        <f t="shared" ref="W6:W69" si="3">U6*Q6</f>
        <v>7232.3764267026172</v>
      </c>
      <c r="X6" s="80">
        <f t="shared" ref="X6:X69" si="4">G6-15</f>
        <v>44514</v>
      </c>
      <c r="Y6" s="80">
        <f t="shared" ref="Y6:Y69" si="5">H6+15</f>
        <v>44555</v>
      </c>
      <c r="Z6" s="95" t="s">
        <v>11</v>
      </c>
      <c r="AA6" s="96" t="s">
        <v>296</v>
      </c>
      <c r="AB6" s="96" t="s">
        <v>297</v>
      </c>
      <c r="AC6" s="96" t="s">
        <v>295</v>
      </c>
      <c r="AD6" s="90">
        <v>1</v>
      </c>
      <c r="AE6" s="89">
        <f t="shared" ref="AE6:AE9" si="6">AD6*Q6</f>
        <v>34352.038177708891</v>
      </c>
      <c r="AF6" s="145">
        <f>IFERROR(VLOOKUP(K6,SEMANAS!$B$1:$C$301,2,0),"EXE")</f>
        <v>3</v>
      </c>
      <c r="AG6" s="102">
        <f t="shared" ref="AG6:AG9" si="7">Q6*I6</f>
        <v>34352.038177708891</v>
      </c>
      <c r="AH6" s="100" t="str">
        <f>IFERROR(VLOOKUP(L6,SEMANAS!$B$1:$C$301,2,0),"EXE")</f>
        <v>EXE</v>
      </c>
      <c r="AI6" s="100" t="str">
        <f>IFERROR(VLOOKUP(M6,SEMANAS!$B$1:$C$301,2,0),"EXE")</f>
        <v>EXE</v>
      </c>
      <c r="AJ6" s="101">
        <f>IF(AI6="EXE",0,Q6)</f>
        <v>0</v>
      </c>
    </row>
    <row r="7" spans="1:36" hidden="1">
      <c r="A7" t="s">
        <v>20</v>
      </c>
      <c r="B7" t="s">
        <v>21</v>
      </c>
      <c r="D7" t="s">
        <v>15</v>
      </c>
      <c r="E7" t="s">
        <v>16</v>
      </c>
      <c r="F7" s="97" t="str">
        <f t="shared" si="0"/>
        <v>Vigas BaldramesFUND</v>
      </c>
      <c r="G7" s="80">
        <v>44543</v>
      </c>
      <c r="H7" s="80">
        <v>44547</v>
      </c>
      <c r="I7" s="105">
        <v>1</v>
      </c>
      <c r="J7" s="116">
        <v>44543</v>
      </c>
      <c r="K7" s="116">
        <v>44547</v>
      </c>
      <c r="L7" s="139" t="str">
        <f>IF(J7&gt;0,"executado",VLOOKUP(F7,REPLAN!$A$6:$C$127,2,0))</f>
        <v>executado</v>
      </c>
      <c r="M7" s="139" t="str">
        <f>IF(J7&gt;0,"executado",VLOOKUP(F7,REPLAN!$A$6:$C$127,3,0))</f>
        <v>executado</v>
      </c>
      <c r="N7" s="88">
        <v>18.11</v>
      </c>
      <c r="O7" s="88" t="s">
        <v>196</v>
      </c>
      <c r="P7" s="89">
        <f>VLOOKUP(B7,'CUSTO ATIVIDADE'!$A$1:$B$30,2,0)</f>
        <v>3866.9904848461024</v>
      </c>
      <c r="Q7" s="91">
        <f t="shared" si="1"/>
        <v>70031.197680562909</v>
      </c>
      <c r="R7" s="88">
        <f>VLOOKUP(G7,SEMANAS!$B$1:$C$301,2,0)</f>
        <v>4</v>
      </c>
      <c r="S7" s="88">
        <f>VLOOKUP(H7,SEMANAS!$B$1:$C$301,2,0)</f>
        <v>4</v>
      </c>
      <c r="T7" s="90">
        <f>VLOOKUP(B7,'MT-MO'!$A$3:$C$31,2,0)</f>
        <v>0.25730234417382863</v>
      </c>
      <c r="U7" s="90">
        <f>VLOOKUP(B7,'MT-MO'!$A$3:$C$31,3,0)</f>
        <v>0.74269765582617142</v>
      </c>
      <c r="V7" s="92">
        <f t="shared" si="2"/>
        <v>18019.191328509627</v>
      </c>
      <c r="W7" s="92">
        <f t="shared" si="3"/>
        <v>52012.006352053286</v>
      </c>
      <c r="X7" s="80">
        <f t="shared" si="4"/>
        <v>44528</v>
      </c>
      <c r="Y7" s="80">
        <f t="shared" si="5"/>
        <v>44562</v>
      </c>
      <c r="Z7" s="95" t="s">
        <v>11</v>
      </c>
      <c r="AA7" s="96" t="s">
        <v>298</v>
      </c>
      <c r="AB7" s="96" t="s">
        <v>299</v>
      </c>
      <c r="AC7" s="96" t="s">
        <v>295</v>
      </c>
      <c r="AD7" s="90">
        <v>1</v>
      </c>
      <c r="AE7" s="89">
        <f t="shared" si="6"/>
        <v>70031.197680562909</v>
      </c>
      <c r="AF7" s="145">
        <f>IFERROR(VLOOKUP(K7,SEMANAS!$B$1:$C$301,2,0),"EXE")</f>
        <v>4</v>
      </c>
      <c r="AG7" s="102">
        <f t="shared" si="7"/>
        <v>70031.197680562909</v>
      </c>
      <c r="AH7" s="100" t="str">
        <f>IFERROR(VLOOKUP(L7,SEMANAS!$B$1:$C$301,2,0),"EXE")</f>
        <v>EXE</v>
      </c>
      <c r="AI7" s="100" t="str">
        <f>IFERROR(VLOOKUP(M7,SEMANAS!$B$1:$C$301,2,0),"EXE")</f>
        <v>EXE</v>
      </c>
      <c r="AJ7" s="101">
        <f>IF(AI7="EXE",0,Q7)</f>
        <v>0</v>
      </c>
    </row>
    <row r="8" spans="1:36" hidden="1">
      <c r="A8" t="s">
        <v>22</v>
      </c>
      <c r="B8" t="s">
        <v>23</v>
      </c>
      <c r="D8" t="s">
        <v>15</v>
      </c>
      <c r="E8" t="s">
        <v>16</v>
      </c>
      <c r="F8" s="97" t="str">
        <f t="shared" si="0"/>
        <v>Instalações EnterradasFUND</v>
      </c>
      <c r="G8" s="80">
        <v>44550</v>
      </c>
      <c r="H8" s="80">
        <v>44554</v>
      </c>
      <c r="I8" s="105">
        <v>1</v>
      </c>
      <c r="J8" s="116">
        <v>44550</v>
      </c>
      <c r="K8" s="116">
        <v>44554</v>
      </c>
      <c r="L8" s="139" t="str">
        <f>IF(J8&gt;0,"executado",VLOOKUP(F8,REPLAN!$A$6:$C$127,2,0))</f>
        <v>executado</v>
      </c>
      <c r="M8" s="139" t="str">
        <f>IF(J8&gt;0,"executado",VLOOKUP(F8,REPLAN!$A$6:$C$127,3,0))</f>
        <v>executado</v>
      </c>
      <c r="N8" s="88">
        <v>1</v>
      </c>
      <c r="O8" s="88" t="s">
        <v>197</v>
      </c>
      <c r="P8" s="89">
        <f>VLOOKUP(B8,'CUSTO ATIVIDADE'!$A$1:$B$30,2,0)</f>
        <v>350</v>
      </c>
      <c r="Q8" s="91">
        <f t="shared" si="1"/>
        <v>350</v>
      </c>
      <c r="R8" s="88">
        <f>VLOOKUP(G8,SEMANAS!$B$1:$C$301,2,0)</f>
        <v>5</v>
      </c>
      <c r="S8" s="88">
        <f>VLOOKUP(H8,SEMANAS!$B$1:$C$301,2,0)</f>
        <v>5</v>
      </c>
      <c r="T8" s="90">
        <f>VLOOKUP(B8,'MT-MO'!$A$3:$C$31,2,0)</f>
        <v>1</v>
      </c>
      <c r="U8" s="90">
        <f>VLOOKUP(B8,'MT-MO'!$A$3:$C$31,3,0)</f>
        <v>0</v>
      </c>
      <c r="V8" s="92">
        <f t="shared" si="2"/>
        <v>350</v>
      </c>
      <c r="W8" s="92">
        <f t="shared" si="3"/>
        <v>0</v>
      </c>
      <c r="X8" s="80">
        <f t="shared" si="4"/>
        <v>44535</v>
      </c>
      <c r="Y8" s="80">
        <f t="shared" si="5"/>
        <v>44569</v>
      </c>
      <c r="Z8" s="95" t="s">
        <v>11</v>
      </c>
      <c r="AA8" s="96" t="s">
        <v>300</v>
      </c>
      <c r="AB8" s="96" t="s">
        <v>301</v>
      </c>
      <c r="AC8" s="96" t="s">
        <v>295</v>
      </c>
      <c r="AD8" s="90">
        <v>1</v>
      </c>
      <c r="AE8" s="89">
        <f t="shared" si="6"/>
        <v>350</v>
      </c>
      <c r="AF8" s="145">
        <f>IFERROR(VLOOKUP(K8,SEMANAS!$B$1:$C$301,2,0),"EXE")</f>
        <v>5</v>
      </c>
      <c r="AG8" s="102">
        <f t="shared" si="7"/>
        <v>350</v>
      </c>
      <c r="AH8" s="100" t="str">
        <f>IFERROR(VLOOKUP(L8,SEMANAS!$B$1:$C$301,2,0),"EXE")</f>
        <v>EXE</v>
      </c>
      <c r="AI8" s="100" t="str">
        <f>IFERROR(VLOOKUP(M8,SEMANAS!$B$1:$C$301,2,0),"EXE")</f>
        <v>EXE</v>
      </c>
      <c r="AJ8" s="101">
        <f>IF(AI8="EXE",0,Q8)</f>
        <v>0</v>
      </c>
    </row>
    <row r="9" spans="1:36" hidden="1">
      <c r="A9" t="s">
        <v>24</v>
      </c>
      <c r="B9" t="s">
        <v>25</v>
      </c>
      <c r="D9" t="s">
        <v>15</v>
      </c>
      <c r="E9" t="s">
        <v>16</v>
      </c>
      <c r="F9" s="97" t="str">
        <f t="shared" si="0"/>
        <v>ContrapisoFUND</v>
      </c>
      <c r="G9" s="80">
        <v>44557</v>
      </c>
      <c r="H9" s="80">
        <v>44564</v>
      </c>
      <c r="I9" s="105">
        <v>1</v>
      </c>
      <c r="J9" s="116">
        <v>44557</v>
      </c>
      <c r="K9" s="116">
        <v>44564</v>
      </c>
      <c r="L9" s="139" t="str">
        <f>IF(J9&gt;0,"executado",VLOOKUP(F9,REPLAN!$A$6:$C$127,2,0))</f>
        <v>executado</v>
      </c>
      <c r="M9" s="139" t="str">
        <f>IF(J9&gt;0,"executado",VLOOKUP(F9,REPLAN!$A$6:$C$127,3,0))</f>
        <v>executado</v>
      </c>
      <c r="N9" s="88">
        <v>224.41</v>
      </c>
      <c r="O9" s="88" t="s">
        <v>195</v>
      </c>
      <c r="P9" s="89">
        <f>VLOOKUP(B9,'CUSTO ATIVIDADE'!$A$1:$B$30,2,0)</f>
        <v>155.57182168692589</v>
      </c>
      <c r="Q9" s="91">
        <f t="shared" si="1"/>
        <v>34911.872504763036</v>
      </c>
      <c r="R9" s="88">
        <f>VLOOKUP(G9,SEMANAS!$B$1:$C$301,2,0)</f>
        <v>6</v>
      </c>
      <c r="S9" s="88">
        <f>VLOOKUP(H9,SEMANAS!$B$1:$C$301,2,0)</f>
        <v>7</v>
      </c>
      <c r="T9" s="90">
        <f>VLOOKUP(B9,'MT-MO'!$A$3:$C$31,2,0)</f>
        <v>0.54167046916318939</v>
      </c>
      <c r="U9" s="90">
        <f>VLOOKUP(B9,'MT-MO'!$A$3:$C$31,3,0)</f>
        <v>0.45832953083681055</v>
      </c>
      <c r="V9" s="92">
        <f t="shared" si="2"/>
        <v>18910.730359020446</v>
      </c>
      <c r="W9" s="92">
        <f t="shared" si="3"/>
        <v>16001.142145742588</v>
      </c>
      <c r="X9" s="80">
        <f t="shared" si="4"/>
        <v>44542</v>
      </c>
      <c r="Y9" s="80">
        <f t="shared" si="5"/>
        <v>44579</v>
      </c>
      <c r="Z9" s="95" t="s">
        <v>11</v>
      </c>
      <c r="AA9" s="96" t="s">
        <v>302</v>
      </c>
      <c r="AB9" s="96" t="s">
        <v>303</v>
      </c>
      <c r="AC9" s="96" t="s">
        <v>295</v>
      </c>
      <c r="AD9" s="90">
        <v>1</v>
      </c>
      <c r="AE9" s="89">
        <f t="shared" si="6"/>
        <v>34911.872504763036</v>
      </c>
      <c r="AF9" s="145">
        <f>IFERROR(VLOOKUP(K9,SEMANAS!$B$1:$C$301,2,0),"EXE")</f>
        <v>7</v>
      </c>
      <c r="AG9" s="102">
        <f t="shared" si="7"/>
        <v>34911.872504763036</v>
      </c>
      <c r="AH9" s="100" t="str">
        <f>IFERROR(VLOOKUP(L9,SEMANAS!$B$1:$C$301,2,0),"EXE")</f>
        <v>EXE</v>
      </c>
      <c r="AI9" s="100" t="str">
        <f>IFERROR(VLOOKUP(M9,SEMANAS!$B$1:$C$301,2,0),"EXE")</f>
        <v>EXE</v>
      </c>
      <c r="AJ9" s="101">
        <f>IF(AI9="EXE",0,Q9)</f>
        <v>0</v>
      </c>
    </row>
    <row r="10" spans="1:36">
      <c r="A10" s="108" t="s">
        <v>26</v>
      </c>
      <c r="B10" s="108" t="s">
        <v>27</v>
      </c>
      <c r="C10" s="108"/>
      <c r="D10" s="108"/>
      <c r="E10" s="108" t="s">
        <v>28</v>
      </c>
      <c r="F10" s="108" t="str">
        <f t="shared" si="0"/>
        <v>PAV1</v>
      </c>
      <c r="G10" s="109">
        <v>44565</v>
      </c>
      <c r="H10" s="109">
        <v>44791</v>
      </c>
      <c r="I10" s="110"/>
      <c r="J10" s="111"/>
      <c r="K10" s="111"/>
      <c r="L10" s="140"/>
      <c r="M10" s="108"/>
      <c r="N10" s="111" t="s">
        <v>9</v>
      </c>
      <c r="O10" s="111"/>
      <c r="P10" s="112"/>
      <c r="Q10" s="111"/>
      <c r="R10" s="111">
        <f>VLOOKUP(G10,SEMANAS!$B$1:$C$301,2,0)</f>
        <v>7</v>
      </c>
      <c r="S10" s="111">
        <f>VLOOKUP(H10,SEMANAS!$B$1:$C$301,2,0)</f>
        <v>39</v>
      </c>
      <c r="T10" s="110"/>
      <c r="U10" s="110"/>
      <c r="V10" s="113">
        <f t="shared" si="2"/>
        <v>0</v>
      </c>
      <c r="W10" s="113">
        <f t="shared" si="3"/>
        <v>0</v>
      </c>
      <c r="X10" s="109">
        <f t="shared" si="4"/>
        <v>44550</v>
      </c>
      <c r="Y10" s="109">
        <f t="shared" si="5"/>
        <v>44806</v>
      </c>
      <c r="Z10" s="106"/>
      <c r="AA10" s="107" t="s">
        <v>9</v>
      </c>
      <c r="AB10" s="107"/>
      <c r="AC10" s="107"/>
      <c r="AD10" s="110"/>
      <c r="AE10" s="109"/>
      <c r="AF10" s="144"/>
      <c r="AG10" s="114"/>
      <c r="AH10" s="111"/>
      <c r="AI10" s="111"/>
      <c r="AJ10" s="115"/>
    </row>
    <row r="11" spans="1:36" hidden="1">
      <c r="A11" t="s">
        <v>29</v>
      </c>
      <c r="B11" t="s">
        <v>30</v>
      </c>
      <c r="D11" t="s">
        <v>31</v>
      </c>
      <c r="E11" t="s">
        <v>16</v>
      </c>
      <c r="F11" s="97" t="str">
        <f t="shared" si="0"/>
        <v>Alvenaria EstruturalPAV1</v>
      </c>
      <c r="G11" s="80">
        <v>44565</v>
      </c>
      <c r="H11" s="80">
        <v>44571</v>
      </c>
      <c r="I11" s="105">
        <v>1</v>
      </c>
      <c r="J11" s="116">
        <v>44565</v>
      </c>
      <c r="K11" s="116">
        <v>44571</v>
      </c>
      <c r="L11" s="139" t="str">
        <f>IF(J11&gt;0,"executado",VLOOKUP(F11,REPLAN!$A$6:$C$127,2,0))</f>
        <v>executado</v>
      </c>
      <c r="M11" s="139" t="str">
        <f>IF(J11&gt;0,"executado",VLOOKUP(F11,REPLAN!$A$6:$C$127,3,0))</f>
        <v>executado</v>
      </c>
      <c r="N11" s="88">
        <v>389.58</v>
      </c>
      <c r="O11" s="88" t="s">
        <v>195</v>
      </c>
      <c r="P11" s="89">
        <f>VLOOKUP(B11,'CUSTO ATIVIDADE'!$A$1:$B$30,2,0)</f>
        <v>247.89395397660905</v>
      </c>
      <c r="Q11" s="91">
        <f t="shared" ref="Q11:Q31" si="8">P11*N11</f>
        <v>96574.526590207359</v>
      </c>
      <c r="R11" s="88">
        <f>VLOOKUP(G11,SEMANAS!$B$1:$C$301,2,0)</f>
        <v>7</v>
      </c>
      <c r="S11" s="88">
        <f>VLOOKUP(H11,SEMANAS!$B$1:$C$301,2,0)</f>
        <v>8</v>
      </c>
      <c r="T11" s="90">
        <f>VLOOKUP(B11,'MT-MO'!$A$3:$C$31,2,0)</f>
        <v>0.13858702989570013</v>
      </c>
      <c r="U11" s="90">
        <f>VLOOKUP(B11,'MT-MO'!$A$3:$C$31,3,0)</f>
        <v>0.86141297010429985</v>
      </c>
      <c r="V11" s="92">
        <f t="shared" si="2"/>
        <v>13383.976803720154</v>
      </c>
      <c r="W11" s="92">
        <f t="shared" si="3"/>
        <v>83190.549786487201</v>
      </c>
      <c r="X11" s="80">
        <f t="shared" si="4"/>
        <v>44550</v>
      </c>
      <c r="Y11" s="80">
        <f t="shared" si="5"/>
        <v>44586</v>
      </c>
      <c r="Z11" s="95" t="s">
        <v>27</v>
      </c>
      <c r="AA11" s="96" t="s">
        <v>304</v>
      </c>
      <c r="AB11" s="96" t="s">
        <v>305</v>
      </c>
      <c r="AC11" s="96" t="s">
        <v>295</v>
      </c>
      <c r="AD11" s="90">
        <v>1</v>
      </c>
      <c r="AE11" s="89">
        <f t="shared" ref="AE11:AE31" si="9">AD11*Q11</f>
        <v>96574.526590207359</v>
      </c>
      <c r="AF11" s="145">
        <f>IFERROR(VLOOKUP(K11,SEMANAS!$B$1:$C$301,2,0),"")</f>
        <v>8</v>
      </c>
      <c r="AG11" s="102">
        <f t="shared" ref="AG11:AG31" si="10">Q11*I11</f>
        <v>96574.526590207359</v>
      </c>
      <c r="AH11" s="100" t="str">
        <f>IFERROR(VLOOKUP(L11,SEMANAS!$B$1:$C$301,2,0),"EXE")</f>
        <v>EXE</v>
      </c>
      <c r="AI11" s="100" t="str">
        <f>IFERROR(VLOOKUP(M11,SEMANAS!$B$1:$C$301,2,0),"EXE")</f>
        <v>EXE</v>
      </c>
      <c r="AJ11" s="101">
        <f>IF(AI11="EXE",0,Q11)</f>
        <v>0</v>
      </c>
    </row>
    <row r="12" spans="1:36" hidden="1">
      <c r="A12" t="s">
        <v>32</v>
      </c>
      <c r="B12" t="s">
        <v>33</v>
      </c>
      <c r="C12" t="s">
        <v>34</v>
      </c>
      <c r="D12" t="s">
        <v>31</v>
      </c>
      <c r="E12" t="s">
        <v>16</v>
      </c>
      <c r="F12" s="97" t="str">
        <f t="shared" si="0"/>
        <v>Estrutura Moldado in LocoPAV1</v>
      </c>
      <c r="G12" s="80">
        <v>44572</v>
      </c>
      <c r="H12" s="80">
        <v>44578</v>
      </c>
      <c r="I12" s="105">
        <v>1</v>
      </c>
      <c r="J12" s="116">
        <v>44572</v>
      </c>
      <c r="K12" s="116">
        <v>44585</v>
      </c>
      <c r="L12" s="139" t="str">
        <f>IF(J12&gt;0,"executado",VLOOKUP(F12,REPLAN!$A$6:$C$127,2,0))</f>
        <v>executado</v>
      </c>
      <c r="M12" s="139" t="str">
        <f>IF(J12&gt;0,"executado",VLOOKUP(F12,REPLAN!$A$6:$C$127,3,0))</f>
        <v>executado</v>
      </c>
      <c r="N12" s="88">
        <v>25.44</v>
      </c>
      <c r="O12" s="88" t="s">
        <v>196</v>
      </c>
      <c r="P12" s="89">
        <f>VLOOKUP(B12,'CUSTO ATIVIDADE'!$A$1:$B$30,2,0)</f>
        <v>2550.8020330415566</v>
      </c>
      <c r="Q12" s="91">
        <f t="shared" si="8"/>
        <v>64892.403720577204</v>
      </c>
      <c r="R12" s="88">
        <f>VLOOKUP(G12,SEMANAS!$B$1:$C$301,2,0)</f>
        <v>8</v>
      </c>
      <c r="S12" s="88">
        <f>VLOOKUP(H12,SEMANAS!$B$1:$C$301,2,0)</f>
        <v>9</v>
      </c>
      <c r="T12" s="90">
        <f>VLOOKUP(B12,'MT-MO'!$A$3:$C$31,2,0)</f>
        <v>0.38396280966583479</v>
      </c>
      <c r="U12" s="90">
        <f>VLOOKUP(B12,'MT-MO'!$A$3:$C$31,3,0)</f>
        <v>0.61603719033416515</v>
      </c>
      <c r="V12" s="92">
        <f t="shared" si="2"/>
        <v>24916.269658522495</v>
      </c>
      <c r="W12" s="92">
        <f t="shared" si="3"/>
        <v>39976.134062054705</v>
      </c>
      <c r="X12" s="80">
        <f t="shared" si="4"/>
        <v>44557</v>
      </c>
      <c r="Y12" s="80">
        <f t="shared" si="5"/>
        <v>44593</v>
      </c>
      <c r="Z12" s="95" t="s">
        <v>27</v>
      </c>
      <c r="AA12" s="96" t="s">
        <v>306</v>
      </c>
      <c r="AB12" s="96" t="s">
        <v>307</v>
      </c>
      <c r="AC12" s="96" t="s">
        <v>295</v>
      </c>
      <c r="AD12" s="90">
        <v>1</v>
      </c>
      <c r="AE12" s="89">
        <f t="shared" si="9"/>
        <v>64892.403720577204</v>
      </c>
      <c r="AF12" s="145">
        <f>IFERROR(VLOOKUP(K12,SEMANAS!$B$1:$C$301,2,0),"")</f>
        <v>10</v>
      </c>
      <c r="AG12" s="102">
        <f t="shared" si="10"/>
        <v>64892.403720577204</v>
      </c>
      <c r="AH12" s="100" t="str">
        <f>IFERROR(VLOOKUP(L12,SEMANAS!$B$1:$C$301,2,0),"EXE")</f>
        <v>EXE</v>
      </c>
      <c r="AI12" s="100" t="str">
        <f>IFERROR(VLOOKUP(M12,SEMANAS!$B$1:$C$301,2,0),"EXE")</f>
        <v>EXE</v>
      </c>
      <c r="AJ12" s="101">
        <f>IF(AI12="EXE",0,Q12)</f>
        <v>0</v>
      </c>
    </row>
    <row r="13" spans="1:36" hidden="1">
      <c r="A13" t="s">
        <v>35</v>
      </c>
      <c r="B13" t="s">
        <v>36</v>
      </c>
      <c r="D13" t="s">
        <v>31</v>
      </c>
      <c r="E13" t="s">
        <v>16</v>
      </c>
      <c r="F13" s="97" t="str">
        <f t="shared" si="0"/>
        <v>Instalações HidrossanitáriasPAV1</v>
      </c>
      <c r="G13" s="80">
        <v>44607</v>
      </c>
      <c r="H13" s="80">
        <v>44613</v>
      </c>
      <c r="I13" s="105">
        <v>1</v>
      </c>
      <c r="J13" s="116">
        <f>G13+15</f>
        <v>44622</v>
      </c>
      <c r="K13" s="116">
        <f>J13+4</f>
        <v>44626</v>
      </c>
      <c r="L13" s="139" t="str">
        <f>IF(J13&gt;0,"executado",VLOOKUP(F13,REPLAN!$A$6:$C$127,2,0))</f>
        <v>executado</v>
      </c>
      <c r="M13" s="139" t="str">
        <f>IF(J13&gt;0,"executado",VLOOKUP(F13,REPLAN!$A$6:$C$127,3,0))</f>
        <v>executado</v>
      </c>
      <c r="N13" s="88">
        <v>1</v>
      </c>
      <c r="O13" s="88" t="s">
        <v>198</v>
      </c>
      <c r="P13" s="89">
        <f>VLOOKUP(B13,'CUSTO ATIVIDADE'!$A$1:$B$30,2,0)</f>
        <v>13455.889210118192</v>
      </c>
      <c r="Q13" s="91">
        <f t="shared" si="8"/>
        <v>13455.889210118192</v>
      </c>
      <c r="R13" s="88">
        <f>VLOOKUP(G13,SEMANAS!$B$1:$C$301,2,0)</f>
        <v>13</v>
      </c>
      <c r="S13" s="88">
        <f>VLOOKUP(H13,SEMANAS!$B$1:$C$301,2,0)</f>
        <v>14</v>
      </c>
      <c r="T13" s="90">
        <f>VLOOKUP(B13,'MT-MO'!$A$3:$C$31,2,0)</f>
        <v>0.35672482024413354</v>
      </c>
      <c r="U13" s="90">
        <f>VLOOKUP(B13,'MT-MO'!$A$3:$C$31,3,0)</f>
        <v>0.64327517975586646</v>
      </c>
      <c r="V13" s="92">
        <f t="shared" si="2"/>
        <v>4800.0496597043884</v>
      </c>
      <c r="W13" s="92">
        <f t="shared" si="3"/>
        <v>8655.8395504138043</v>
      </c>
      <c r="X13" s="80">
        <f t="shared" si="4"/>
        <v>44592</v>
      </c>
      <c r="Y13" s="80">
        <f t="shared" si="5"/>
        <v>44628</v>
      </c>
      <c r="Z13" s="95" t="s">
        <v>27</v>
      </c>
      <c r="AA13" s="96" t="s">
        <v>308</v>
      </c>
      <c r="AB13" s="96" t="s">
        <v>309</v>
      </c>
      <c r="AC13" s="96" t="s">
        <v>295</v>
      </c>
      <c r="AD13" s="90">
        <v>1</v>
      </c>
      <c r="AE13" s="89">
        <f t="shared" si="9"/>
        <v>13455.889210118192</v>
      </c>
      <c r="AF13" s="145">
        <f>IFERROR(VLOOKUP(K13,SEMANAS!$B$1:$C$301,2,0),"")</f>
        <v>15</v>
      </c>
      <c r="AG13" s="102">
        <f t="shared" si="10"/>
        <v>13455.889210118192</v>
      </c>
      <c r="AH13" s="100" t="str">
        <f>IFERROR(VLOOKUP(L13,SEMANAS!$B$1:$C$301,2,0),"EXE")</f>
        <v>EXE</v>
      </c>
      <c r="AI13" s="100" t="str">
        <f>IFERROR(VLOOKUP(M13,SEMANAS!$B$1:$C$301,2,0),"EXE")</f>
        <v>EXE</v>
      </c>
      <c r="AJ13" s="101">
        <f>IF(AI13="EXE",0,Q13)</f>
        <v>0</v>
      </c>
    </row>
    <row r="14" spans="1:36" hidden="1">
      <c r="A14" t="s">
        <v>37</v>
      </c>
      <c r="B14" t="s">
        <v>38</v>
      </c>
      <c r="D14" t="s">
        <v>31</v>
      </c>
      <c r="E14" t="s">
        <v>16</v>
      </c>
      <c r="F14" s="97" t="str">
        <f t="shared" si="0"/>
        <v>Reboco InternoPAV1</v>
      </c>
      <c r="G14" s="80">
        <v>44621</v>
      </c>
      <c r="H14" s="80">
        <v>44627</v>
      </c>
      <c r="I14" s="105">
        <v>1</v>
      </c>
      <c r="J14" s="116">
        <v>44627</v>
      </c>
      <c r="K14" s="116">
        <v>44631</v>
      </c>
      <c r="L14" s="139" t="str">
        <f>IF(J14&gt;0,"executado",VLOOKUP(F14,REPLAN!$A$6:$C$127,2,0))</f>
        <v>executado</v>
      </c>
      <c r="M14" s="139" t="str">
        <f>IF(J14&gt;0,"executado",VLOOKUP(F14,REPLAN!$A$6:$C$127,3,0))</f>
        <v>executado</v>
      </c>
      <c r="N14" s="88">
        <v>140.59</v>
      </c>
      <c r="O14" s="88" t="s">
        <v>195</v>
      </c>
      <c r="P14" s="89">
        <f>VLOOKUP(B14,'CUSTO ATIVIDADE'!$A$1:$B$30,2,0)</f>
        <v>7</v>
      </c>
      <c r="Q14" s="91">
        <f t="shared" si="8"/>
        <v>984.13</v>
      </c>
      <c r="R14" s="88">
        <f>VLOOKUP(G14,SEMANAS!$B$1:$C$301,2,0)</f>
        <v>15</v>
      </c>
      <c r="S14" s="88">
        <f>VLOOKUP(H14,SEMANAS!$B$1:$C$301,2,0)</f>
        <v>16</v>
      </c>
      <c r="T14" s="90">
        <f>VLOOKUP(B14,'MT-MO'!$A$3:$C$31,2,0)</f>
        <v>0.26486813778256191</v>
      </c>
      <c r="U14" s="90">
        <f>VLOOKUP(B14,'MT-MO'!$A$3:$C$31,3,0)</f>
        <v>0.73513186221743809</v>
      </c>
      <c r="V14" s="92">
        <f t="shared" si="2"/>
        <v>260.66468043595268</v>
      </c>
      <c r="W14" s="92">
        <f t="shared" si="3"/>
        <v>723.46531956404738</v>
      </c>
      <c r="X14" s="80">
        <f t="shared" si="4"/>
        <v>44606</v>
      </c>
      <c r="Y14" s="80">
        <f t="shared" si="5"/>
        <v>44642</v>
      </c>
      <c r="Z14" s="95" t="s">
        <v>27</v>
      </c>
      <c r="AA14" s="96" t="s">
        <v>310</v>
      </c>
      <c r="AB14" s="96" t="s">
        <v>311</v>
      </c>
      <c r="AC14" s="96" t="s">
        <v>295</v>
      </c>
      <c r="AD14" s="90">
        <v>1</v>
      </c>
      <c r="AE14" s="89">
        <f t="shared" si="9"/>
        <v>984.13</v>
      </c>
      <c r="AF14" s="145">
        <f>IFERROR(VLOOKUP(K14,SEMANAS!$B$1:$C$301,2,0),"")</f>
        <v>16</v>
      </c>
      <c r="AG14" s="102">
        <f t="shared" si="10"/>
        <v>984.13</v>
      </c>
      <c r="AH14" s="100" t="str">
        <f>IFERROR(VLOOKUP(L14,SEMANAS!$B$1:$C$301,2,0),"EXE")</f>
        <v>EXE</v>
      </c>
      <c r="AI14" s="100" t="str">
        <f>IFERROR(VLOOKUP(M14,SEMANAS!$B$1:$C$301,2,0),"EXE")</f>
        <v>EXE</v>
      </c>
      <c r="AJ14" s="101">
        <f>IF(AI14="EXE",0,Q14)</f>
        <v>0</v>
      </c>
    </row>
    <row r="15" spans="1:36">
      <c r="A15" t="s">
        <v>39</v>
      </c>
      <c r="B15" t="s">
        <v>40</v>
      </c>
      <c r="D15" t="s">
        <v>31</v>
      </c>
      <c r="E15" t="s">
        <v>41</v>
      </c>
      <c r="F15" s="97" t="str">
        <f t="shared" si="0"/>
        <v>Shaft PAV1</v>
      </c>
      <c r="G15" s="80">
        <v>44649</v>
      </c>
      <c r="H15" s="80">
        <v>44651</v>
      </c>
      <c r="I15" s="105"/>
      <c r="J15" s="81"/>
      <c r="K15" s="81"/>
      <c r="L15" s="139">
        <f>IF(J15&gt;0,"executado",VLOOKUP(F15,REPLAN!$A$6:$C$127,2,0))</f>
        <v>44655</v>
      </c>
      <c r="M15" s="139">
        <f>IF(J15&gt;0,"executado",VLOOKUP(F15,REPLAN!$A$6:$C$127,3,0))</f>
        <v>44657</v>
      </c>
      <c r="N15" s="88">
        <v>10.69</v>
      </c>
      <c r="O15" s="88" t="s">
        <v>195</v>
      </c>
      <c r="P15" s="89">
        <f>VLOOKUP(B15,'CUSTO ATIVIDADE'!$A$1:$B$30,2,0)</f>
        <v>295.46807160325829</v>
      </c>
      <c r="Q15" s="91">
        <f t="shared" si="8"/>
        <v>3158.5536854388311</v>
      </c>
      <c r="R15" s="88">
        <f>VLOOKUP(G15,SEMANAS!$B$1:$C$301,2,0)</f>
        <v>19</v>
      </c>
      <c r="S15" s="88">
        <f>VLOOKUP(H15,SEMANAS!$B$1:$C$301,2,0)</f>
        <v>19</v>
      </c>
      <c r="T15" s="90">
        <f>VLOOKUP(B15,'MT-MO'!$A$3:$C$31,2,0)</f>
        <v>0.62478082992402106</v>
      </c>
      <c r="U15" s="90">
        <f>VLOOKUP(B15,'MT-MO'!$A$3:$C$31,3,0)</f>
        <v>0.37521917007597894</v>
      </c>
      <c r="V15" s="92">
        <f t="shared" si="2"/>
        <v>1973.4037929480482</v>
      </c>
      <c r="W15" s="92">
        <f t="shared" si="3"/>
        <v>1185.1498924907828</v>
      </c>
      <c r="X15" s="80">
        <f t="shared" si="4"/>
        <v>44634</v>
      </c>
      <c r="Y15" s="80">
        <f t="shared" si="5"/>
        <v>44666</v>
      </c>
      <c r="Z15" s="95" t="s">
        <v>27</v>
      </c>
      <c r="AA15" s="96" t="s">
        <v>312</v>
      </c>
      <c r="AB15" s="96" t="s">
        <v>313</v>
      </c>
      <c r="AC15" s="96" t="s">
        <v>295</v>
      </c>
      <c r="AD15" s="80"/>
      <c r="AE15" s="89">
        <f t="shared" si="9"/>
        <v>0</v>
      </c>
      <c r="AF15" s="145" t="str">
        <f>IFERROR(VLOOKUP(K15,SEMANAS!$B$1:$C$301,2,0),"")</f>
        <v/>
      </c>
      <c r="AG15" s="102">
        <f t="shared" si="10"/>
        <v>0</v>
      </c>
      <c r="AH15" s="100">
        <f>IFERROR(VLOOKUP(L15,SEMANAS!$B$1:$C$301,2,0),"EXE")</f>
        <v>20</v>
      </c>
      <c r="AI15" s="100">
        <f>IFERROR(VLOOKUP(M15,SEMANAS!$B$1:$C$301,2,0),"EXE")</f>
        <v>20</v>
      </c>
      <c r="AJ15" s="101">
        <f>IF(AI15="EXE",0,Q15)</f>
        <v>3158.5536854388311</v>
      </c>
    </row>
    <row r="16" spans="1:36">
      <c r="A16" t="s">
        <v>42</v>
      </c>
      <c r="B16" t="s">
        <v>43</v>
      </c>
      <c r="D16" t="s">
        <v>31</v>
      </c>
      <c r="E16" t="s">
        <v>16</v>
      </c>
      <c r="F16" s="97" t="str">
        <f t="shared" si="0"/>
        <v>ImpermeabilizaçãoPAV1</v>
      </c>
      <c r="G16" s="80">
        <v>44651</v>
      </c>
      <c r="H16" s="80">
        <v>44658</v>
      </c>
      <c r="I16" s="105"/>
      <c r="J16" s="81"/>
      <c r="K16" s="81"/>
      <c r="L16" s="139">
        <f>IF(J16&gt;0,"executado",VLOOKUP(F16,REPLAN!$A$6:$C$127,2,0))</f>
        <v>44657</v>
      </c>
      <c r="M16" s="139">
        <f>IF(J16&gt;0,"executado",VLOOKUP(F16,REPLAN!$A$6:$C$127,3,0))</f>
        <v>44664</v>
      </c>
      <c r="N16" s="88">
        <v>6.08</v>
      </c>
      <c r="O16" s="88" t="s">
        <v>195</v>
      </c>
      <c r="P16" s="89">
        <f>VLOOKUP(B16,'CUSTO ATIVIDADE'!$A$1:$B$30,2,0)</f>
        <v>39.299999999999997</v>
      </c>
      <c r="Q16" s="91">
        <f t="shared" si="8"/>
        <v>238.94399999999999</v>
      </c>
      <c r="R16" s="88">
        <f>VLOOKUP(G16,SEMANAS!$B$1:$C$301,2,0)</f>
        <v>19</v>
      </c>
      <c r="S16" s="88">
        <f>VLOOKUP(H16,SEMANAS!$B$1:$C$301,2,0)</f>
        <v>20</v>
      </c>
      <c r="T16" s="90">
        <f>VLOOKUP(B16,'MT-MO'!$A$3:$C$31,2,0)</f>
        <v>0.45815899581589958</v>
      </c>
      <c r="U16" s="90">
        <f>VLOOKUP(B16,'MT-MO'!$A$3:$C$31,3,0)</f>
        <v>0.54184100418410042</v>
      </c>
      <c r="V16" s="92">
        <f t="shared" si="2"/>
        <v>109.47434309623431</v>
      </c>
      <c r="W16" s="92">
        <f t="shared" si="3"/>
        <v>129.4696569037657</v>
      </c>
      <c r="X16" s="80">
        <f t="shared" si="4"/>
        <v>44636</v>
      </c>
      <c r="Y16" s="80">
        <f t="shared" si="5"/>
        <v>44673</v>
      </c>
      <c r="Z16" s="95" t="s">
        <v>27</v>
      </c>
      <c r="AA16" s="96" t="s">
        <v>314</v>
      </c>
      <c r="AB16" s="96" t="s">
        <v>315</v>
      </c>
      <c r="AC16" s="96" t="s">
        <v>295</v>
      </c>
      <c r="AD16" s="80"/>
      <c r="AE16" s="89">
        <f t="shared" si="9"/>
        <v>0</v>
      </c>
      <c r="AF16" s="145" t="str">
        <f>IFERROR(VLOOKUP(K16,SEMANAS!$B$1:$C$301,2,0),"")</f>
        <v/>
      </c>
      <c r="AG16" s="102">
        <f t="shared" si="10"/>
        <v>0</v>
      </c>
      <c r="AH16" s="100">
        <f>IFERROR(VLOOKUP(L16,SEMANAS!$B$1:$C$301,2,0),"EXE")</f>
        <v>20</v>
      </c>
      <c r="AI16" s="100">
        <f>IFERROR(VLOOKUP(M16,SEMANAS!$B$1:$C$301,2,0),"EXE")</f>
        <v>21</v>
      </c>
      <c r="AJ16" s="101">
        <f>IF(AI16="EXE",0,Q16)</f>
        <v>238.94399999999999</v>
      </c>
    </row>
    <row r="17" spans="1:36">
      <c r="A17" t="s">
        <v>44</v>
      </c>
      <c r="B17" t="s">
        <v>45</v>
      </c>
      <c r="D17" t="s">
        <v>31</v>
      </c>
      <c r="E17" t="s">
        <v>16</v>
      </c>
      <c r="F17" s="97" t="str">
        <f t="shared" si="0"/>
        <v>CerâmicaPAV1</v>
      </c>
      <c r="G17" s="80">
        <v>44665</v>
      </c>
      <c r="H17" s="80">
        <v>44672</v>
      </c>
      <c r="I17" s="105"/>
      <c r="J17" s="81"/>
      <c r="K17" s="81"/>
      <c r="L17" s="139">
        <f>IF(J17&gt;0,"executado",VLOOKUP(F17,REPLAN!$A$6:$C$127,2,0))</f>
        <v>44671</v>
      </c>
      <c r="M17" s="139">
        <f>IF(J17&gt;0,"executado",VLOOKUP(F17,REPLAN!$A$6:$C$127,3,0))</f>
        <v>44678</v>
      </c>
      <c r="N17" s="88">
        <v>86.26</v>
      </c>
      <c r="O17" s="88" t="s">
        <v>195</v>
      </c>
      <c r="P17" s="89">
        <f>VLOOKUP(B17,'CUSTO ATIVIDADE'!$A$1:$B$30,2,0)</f>
        <v>236.90944856477213</v>
      </c>
      <c r="Q17" s="91">
        <f t="shared" si="8"/>
        <v>20435.809033197245</v>
      </c>
      <c r="R17" s="88">
        <f>VLOOKUP(G17,SEMANAS!$B$1:$C$301,2,0)</f>
        <v>21</v>
      </c>
      <c r="S17" s="88">
        <f>VLOOKUP(H17,SEMANAS!$B$1:$C$301,2,0)</f>
        <v>22</v>
      </c>
      <c r="T17" s="90">
        <f>VLOOKUP(B17,'MT-MO'!$A$3:$C$31,2,0)</f>
        <v>0.57761004134961225</v>
      </c>
      <c r="U17" s="90">
        <f>VLOOKUP(B17,'MT-MO'!$A$3:$C$31,3,0)</f>
        <v>0.42238995865038781</v>
      </c>
      <c r="V17" s="92">
        <f t="shared" si="2"/>
        <v>11803.928500677841</v>
      </c>
      <c r="W17" s="92">
        <f t="shared" si="3"/>
        <v>8631.8805325194062</v>
      </c>
      <c r="X17" s="80">
        <f t="shared" si="4"/>
        <v>44650</v>
      </c>
      <c r="Y17" s="80">
        <f t="shared" si="5"/>
        <v>44687</v>
      </c>
      <c r="Z17" s="95" t="s">
        <v>27</v>
      </c>
      <c r="AA17" s="96" t="s">
        <v>316</v>
      </c>
      <c r="AB17" s="96" t="s">
        <v>317</v>
      </c>
      <c r="AC17" s="96" t="s">
        <v>295</v>
      </c>
      <c r="AD17" s="80"/>
      <c r="AE17" s="89">
        <f t="shared" si="9"/>
        <v>0</v>
      </c>
      <c r="AF17" s="145" t="str">
        <f>IFERROR(VLOOKUP(K17,SEMANAS!$B$1:$C$301,2,0),"")</f>
        <v/>
      </c>
      <c r="AG17" s="102">
        <f t="shared" si="10"/>
        <v>0</v>
      </c>
      <c r="AH17" s="100">
        <f>IFERROR(VLOOKUP(L17,SEMANAS!$B$1:$C$301,2,0),"EXE")</f>
        <v>22</v>
      </c>
      <c r="AI17" s="100">
        <f>IFERROR(VLOOKUP(M17,SEMANAS!$B$1:$C$301,2,0),"EXE")</f>
        <v>23</v>
      </c>
      <c r="AJ17" s="101">
        <f>IF(AI17="EXE",0,Q17)</f>
        <v>20435.809033197245</v>
      </c>
    </row>
    <row r="18" spans="1:36">
      <c r="A18" t="s">
        <v>46</v>
      </c>
      <c r="B18" t="s">
        <v>47</v>
      </c>
      <c r="D18" t="s">
        <v>31</v>
      </c>
      <c r="E18" t="s">
        <v>16</v>
      </c>
      <c r="F18" s="97" t="str">
        <f t="shared" si="0"/>
        <v>Gesso LisoPAV1</v>
      </c>
      <c r="G18" s="80">
        <v>44679</v>
      </c>
      <c r="H18" s="80">
        <v>44686</v>
      </c>
      <c r="I18" s="105"/>
      <c r="J18" s="81"/>
      <c r="K18" s="81"/>
      <c r="L18" s="139">
        <f>IF(J18&gt;0,"executado",VLOOKUP(F18,REPLAN!$A$6:$C$127,2,0))</f>
        <v>44685</v>
      </c>
      <c r="M18" s="139">
        <f>IF(J18&gt;0,"executado",VLOOKUP(F18,REPLAN!$A$6:$C$127,3,0))</f>
        <v>44692</v>
      </c>
      <c r="N18" s="88">
        <v>447.45</v>
      </c>
      <c r="O18" s="88" t="s">
        <v>195</v>
      </c>
      <c r="P18" s="89">
        <f>VLOOKUP(B18,'CUSTO ATIVIDADE'!$A$1:$B$30,2,0)</f>
        <v>15.222400000000006</v>
      </c>
      <c r="Q18" s="91">
        <f t="shared" si="8"/>
        <v>6811.262880000002</v>
      </c>
      <c r="R18" s="88">
        <f>VLOOKUP(G18,SEMANAS!$B$1:$C$301,2,0)</f>
        <v>23</v>
      </c>
      <c r="S18" s="88">
        <f>VLOOKUP(H18,SEMANAS!$B$1:$C$301,2,0)</f>
        <v>24</v>
      </c>
      <c r="T18" s="90">
        <f>VLOOKUP(B18,'MT-MO'!$A$3:$C$31,2,0)</f>
        <v>0.45986419526518629</v>
      </c>
      <c r="U18" s="90">
        <f>VLOOKUP(B18,'MT-MO'!$A$3:$C$31,3,0)</f>
        <v>0.54013580473481371</v>
      </c>
      <c r="V18" s="92">
        <f t="shared" si="2"/>
        <v>3132.2559230508359</v>
      </c>
      <c r="W18" s="92">
        <f t="shared" si="3"/>
        <v>3679.0069569491661</v>
      </c>
      <c r="X18" s="80">
        <f t="shared" si="4"/>
        <v>44664</v>
      </c>
      <c r="Y18" s="80">
        <f t="shared" si="5"/>
        <v>44701</v>
      </c>
      <c r="Z18" s="95" t="s">
        <v>27</v>
      </c>
      <c r="AA18" s="96" t="s">
        <v>318</v>
      </c>
      <c r="AB18" s="96" t="s">
        <v>319</v>
      </c>
      <c r="AC18" s="96" t="s">
        <v>295</v>
      </c>
      <c r="AD18" s="80"/>
      <c r="AE18" s="89">
        <f t="shared" si="9"/>
        <v>0</v>
      </c>
      <c r="AF18" s="145" t="str">
        <f>IFERROR(VLOOKUP(K18,SEMANAS!$B$1:$C$301,2,0),"")</f>
        <v/>
      </c>
      <c r="AG18" s="102">
        <f t="shared" si="10"/>
        <v>0</v>
      </c>
      <c r="AH18" s="100">
        <f>IFERROR(VLOOKUP(L18,SEMANAS!$B$1:$C$301,2,0),"EXE")</f>
        <v>24</v>
      </c>
      <c r="AI18" s="100">
        <f>IFERROR(VLOOKUP(M18,SEMANAS!$B$1:$C$301,2,0),"EXE")</f>
        <v>25</v>
      </c>
      <c r="AJ18" s="101">
        <f>IF(AI18="EXE",0,Q18)</f>
        <v>6811.262880000002</v>
      </c>
    </row>
    <row r="19" spans="1:36">
      <c r="A19" t="s">
        <v>48</v>
      </c>
      <c r="B19" t="s">
        <v>49</v>
      </c>
      <c r="D19" t="s">
        <v>31</v>
      </c>
      <c r="E19" t="s">
        <v>16</v>
      </c>
      <c r="F19" s="97" t="str">
        <f t="shared" si="0"/>
        <v>Esquadria PAV1</v>
      </c>
      <c r="G19" s="80">
        <v>44700</v>
      </c>
      <c r="H19" s="80">
        <v>44707</v>
      </c>
      <c r="I19" s="105"/>
      <c r="J19" s="81"/>
      <c r="K19" s="81"/>
      <c r="L19" s="139">
        <f>IF(J19&gt;0,"executado",VLOOKUP(F19,REPLAN!$A$6:$C$127,2,0))</f>
        <v>44706</v>
      </c>
      <c r="M19" s="139">
        <f>IF(J19&gt;0,"executado",VLOOKUP(F19,REPLAN!$A$6:$C$127,3,0))</f>
        <v>44713</v>
      </c>
      <c r="N19" s="88">
        <v>21</v>
      </c>
      <c r="O19" s="88" t="s">
        <v>199</v>
      </c>
      <c r="P19" s="89">
        <f>VLOOKUP(B19,'CUSTO ATIVIDADE'!$A$1:$B$30,2,0)</f>
        <v>1261.9047619047619</v>
      </c>
      <c r="Q19" s="91">
        <f t="shared" si="8"/>
        <v>26500</v>
      </c>
      <c r="R19" s="88">
        <f>VLOOKUP(G19,SEMANAS!$B$1:$C$301,2,0)</f>
        <v>26</v>
      </c>
      <c r="S19" s="88">
        <f>VLOOKUP(H19,SEMANAS!$B$1:$C$301,2,0)</f>
        <v>27</v>
      </c>
      <c r="T19" s="90">
        <f>VLOOKUP(B19,'MT-MO'!$A$3:$C$31,2,0)</f>
        <v>0.19811320754716982</v>
      </c>
      <c r="U19" s="90">
        <f>VLOOKUP(B19,'MT-MO'!$A$3:$C$31,3,0)</f>
        <v>0.80188679245283023</v>
      </c>
      <c r="V19" s="92">
        <f t="shared" si="2"/>
        <v>5250</v>
      </c>
      <c r="W19" s="92">
        <f t="shared" si="3"/>
        <v>21250</v>
      </c>
      <c r="X19" s="80">
        <f t="shared" si="4"/>
        <v>44685</v>
      </c>
      <c r="Y19" s="80">
        <f t="shared" si="5"/>
        <v>44722</v>
      </c>
      <c r="Z19" s="95" t="s">
        <v>27</v>
      </c>
      <c r="AA19" s="96" t="s">
        <v>320</v>
      </c>
      <c r="AB19" s="96" t="s">
        <v>321</v>
      </c>
      <c r="AC19" s="96" t="s">
        <v>295</v>
      </c>
      <c r="AD19" s="80"/>
      <c r="AE19" s="89">
        <f t="shared" si="9"/>
        <v>0</v>
      </c>
      <c r="AF19" s="145" t="str">
        <f>IFERROR(VLOOKUP(K19,SEMANAS!$B$1:$C$301,2,0),"")</f>
        <v/>
      </c>
      <c r="AG19" s="102">
        <f t="shared" si="10"/>
        <v>0</v>
      </c>
      <c r="AH19" s="100">
        <f>IFERROR(VLOOKUP(L19,SEMANAS!$B$1:$C$301,2,0),"EXE")</f>
        <v>27</v>
      </c>
      <c r="AI19" s="100">
        <f>IFERROR(VLOOKUP(M19,SEMANAS!$B$1:$C$301,2,0),"EXE")</f>
        <v>28</v>
      </c>
      <c r="AJ19" s="101">
        <f>IF(AI19="EXE",0,Q19)</f>
        <v>26500</v>
      </c>
    </row>
    <row r="20" spans="1:36">
      <c r="A20" t="s">
        <v>50</v>
      </c>
      <c r="B20" t="s">
        <v>51</v>
      </c>
      <c r="D20" t="s">
        <v>31</v>
      </c>
      <c r="E20" t="s">
        <v>16</v>
      </c>
      <c r="F20" s="97" t="str">
        <f t="shared" si="0"/>
        <v>FiaçãoPAV1</v>
      </c>
      <c r="G20" s="80">
        <v>44707</v>
      </c>
      <c r="H20" s="80">
        <v>44714</v>
      </c>
      <c r="I20" s="105"/>
      <c r="J20" s="81"/>
      <c r="K20" s="81"/>
      <c r="L20" s="139">
        <f>IF(J20&gt;0,"executado",VLOOKUP(F20,REPLAN!$A$6:$C$127,2,0))</f>
        <v>44713</v>
      </c>
      <c r="M20" s="139">
        <f>IF(J20&gt;0,"executado",VLOOKUP(F20,REPLAN!$A$6:$C$127,3,0))</f>
        <v>44720</v>
      </c>
      <c r="N20" s="88">
        <v>4</v>
      </c>
      <c r="O20" s="88" t="s">
        <v>200</v>
      </c>
      <c r="P20" s="89">
        <f>VLOOKUP(B20,'CUSTO ATIVIDADE'!$A$1:$B$30,2,0)</f>
        <v>1283.6297966501836</v>
      </c>
      <c r="Q20" s="91">
        <f t="shared" si="8"/>
        <v>5134.5191866007344</v>
      </c>
      <c r="R20" s="88">
        <f>VLOOKUP(G20,SEMANAS!$B$1:$C$301,2,0)</f>
        <v>27</v>
      </c>
      <c r="S20" s="88">
        <f>VLOOKUP(H20,SEMANAS!$B$1:$C$301,2,0)</f>
        <v>28</v>
      </c>
      <c r="T20" s="90">
        <f>VLOOKUP(B20,'MT-MO'!$A$3:$C$31,2,0)</f>
        <v>0.62323497906319991</v>
      </c>
      <c r="U20" s="90">
        <f>VLOOKUP(B20,'MT-MO'!$A$3:$C$31,3,0)</f>
        <v>0.37676502093680009</v>
      </c>
      <c r="V20" s="92">
        <f t="shared" si="2"/>
        <v>3200.011957760707</v>
      </c>
      <c r="W20" s="92">
        <f t="shared" si="3"/>
        <v>1934.5072288400274</v>
      </c>
      <c r="X20" s="80">
        <f t="shared" si="4"/>
        <v>44692</v>
      </c>
      <c r="Y20" s="80">
        <f t="shared" si="5"/>
        <v>44729</v>
      </c>
      <c r="Z20" s="95" t="s">
        <v>27</v>
      </c>
      <c r="AA20" s="96" t="s">
        <v>318</v>
      </c>
      <c r="AB20" s="96" t="s">
        <v>322</v>
      </c>
      <c r="AC20" s="96" t="s">
        <v>295</v>
      </c>
      <c r="AD20" s="80"/>
      <c r="AE20" s="89">
        <f t="shared" si="9"/>
        <v>0</v>
      </c>
      <c r="AF20" s="145" t="str">
        <f>IFERROR(VLOOKUP(K20,SEMANAS!$B$1:$C$301,2,0),"")</f>
        <v/>
      </c>
      <c r="AG20" s="102">
        <f t="shared" si="10"/>
        <v>0</v>
      </c>
      <c r="AH20" s="100">
        <f>IFERROR(VLOOKUP(L20,SEMANAS!$B$1:$C$301,2,0),"EXE")</f>
        <v>28</v>
      </c>
      <c r="AI20" s="100">
        <f>IFERROR(VLOOKUP(M20,SEMANAS!$B$1:$C$301,2,0),"EXE")</f>
        <v>29</v>
      </c>
      <c r="AJ20" s="101">
        <f>IF(AI20="EXE",0,Q20)</f>
        <v>5134.5191866007344</v>
      </c>
    </row>
    <row r="21" spans="1:36">
      <c r="A21" t="s">
        <v>52</v>
      </c>
      <c r="B21" t="s">
        <v>53</v>
      </c>
      <c r="D21" t="s">
        <v>31</v>
      </c>
      <c r="E21" t="s">
        <v>16</v>
      </c>
      <c r="F21" s="97" t="str">
        <f t="shared" si="0"/>
        <v>ForroPAV1</v>
      </c>
      <c r="G21" s="80">
        <v>44721</v>
      </c>
      <c r="H21" s="80">
        <v>44728</v>
      </c>
      <c r="I21" s="105"/>
      <c r="J21" s="81"/>
      <c r="K21" s="81"/>
      <c r="L21" s="139">
        <f>IF(J21&gt;0,"executado",VLOOKUP(F21,REPLAN!$A$6:$C$127,2,0))</f>
        <v>44727</v>
      </c>
      <c r="M21" s="139">
        <f>IF(J21&gt;0,"executado",VLOOKUP(F21,REPLAN!$A$6:$C$127,3,0))</f>
        <v>44734</v>
      </c>
      <c r="N21" s="88">
        <v>29.29</v>
      </c>
      <c r="O21" s="88" t="s">
        <v>195</v>
      </c>
      <c r="P21" s="89">
        <f>VLOOKUP(B21,'CUSTO ATIVIDADE'!$A$1:$B$30,2,0)</f>
        <v>78.445334999999986</v>
      </c>
      <c r="Q21" s="91">
        <f t="shared" si="8"/>
        <v>2297.6638621499997</v>
      </c>
      <c r="R21" s="88">
        <f>VLOOKUP(G21,SEMANAS!$B$1:$C$301,2,0)</f>
        <v>29</v>
      </c>
      <c r="S21" s="88">
        <f>VLOOKUP(H21,SEMANAS!$B$1:$C$301,2,0)</f>
        <v>30</v>
      </c>
      <c r="T21" s="90">
        <f>VLOOKUP(B21,'MT-MO'!$A$3:$C$31,2,0)</f>
        <v>0.31868131868131866</v>
      </c>
      <c r="U21" s="90">
        <f>VLOOKUP(B21,'MT-MO'!$A$3:$C$31,3,0)</f>
        <v>0.68131868131868134</v>
      </c>
      <c r="V21" s="92">
        <f t="shared" si="2"/>
        <v>732.2225494763735</v>
      </c>
      <c r="W21" s="92">
        <f t="shared" si="3"/>
        <v>1565.4413126736263</v>
      </c>
      <c r="X21" s="80">
        <f t="shared" si="4"/>
        <v>44706</v>
      </c>
      <c r="Y21" s="80">
        <f t="shared" si="5"/>
        <v>44743</v>
      </c>
      <c r="Z21" s="95" t="s">
        <v>27</v>
      </c>
      <c r="AA21" s="96" t="s">
        <v>323</v>
      </c>
      <c r="AB21" s="96" t="s">
        <v>324</v>
      </c>
      <c r="AC21" s="96" t="s">
        <v>295</v>
      </c>
      <c r="AD21" s="80"/>
      <c r="AE21" s="89">
        <f t="shared" si="9"/>
        <v>0</v>
      </c>
      <c r="AF21" s="145" t="str">
        <f>IFERROR(VLOOKUP(K21,SEMANAS!$B$1:$C$301,2,0),"")</f>
        <v/>
      </c>
      <c r="AG21" s="102">
        <f t="shared" si="10"/>
        <v>0</v>
      </c>
      <c r="AH21" s="100">
        <f>IFERROR(VLOOKUP(L21,SEMANAS!$B$1:$C$301,2,0),"EXE")</f>
        <v>30</v>
      </c>
      <c r="AI21" s="100">
        <f>IFERROR(VLOOKUP(M21,SEMANAS!$B$1:$C$301,2,0),"EXE")</f>
        <v>31</v>
      </c>
      <c r="AJ21" s="101">
        <f>IF(AI21="EXE",0,Q21)</f>
        <v>2297.6638621499997</v>
      </c>
    </row>
    <row r="22" spans="1:36">
      <c r="A22" t="s">
        <v>54</v>
      </c>
      <c r="B22" t="s">
        <v>55</v>
      </c>
      <c r="D22" t="s">
        <v>31</v>
      </c>
      <c r="E22" t="s">
        <v>41</v>
      </c>
      <c r="F22" s="97" t="str">
        <f t="shared" si="0"/>
        <v>Disjuntores e CDPAV1</v>
      </c>
      <c r="G22" s="80">
        <v>44728</v>
      </c>
      <c r="H22" s="80">
        <v>44732</v>
      </c>
      <c r="I22" s="105"/>
      <c r="J22" s="81"/>
      <c r="K22" s="81"/>
      <c r="L22" s="139">
        <f>IF(J22&gt;0,"executado",VLOOKUP(F22,REPLAN!$A$6:$C$127,2,0))</f>
        <v>44734</v>
      </c>
      <c r="M22" s="139">
        <f>IF(J22&gt;0,"executado",VLOOKUP(F22,REPLAN!$A$6:$C$127,3,0))</f>
        <v>44736</v>
      </c>
      <c r="N22" s="88">
        <v>4</v>
      </c>
      <c r="O22" s="88" t="s">
        <v>200</v>
      </c>
      <c r="P22" s="89">
        <f>VLOOKUP(B22,'CUSTO ATIVIDADE'!$A$1:$B$30,2,0)</f>
        <v>350</v>
      </c>
      <c r="Q22" s="91">
        <f t="shared" si="8"/>
        <v>1400</v>
      </c>
      <c r="R22" s="88">
        <f>VLOOKUP(G22,SEMANAS!$B$1:$C$301,2,0)</f>
        <v>30</v>
      </c>
      <c r="S22" s="88">
        <f>VLOOKUP(H22,SEMANAS!$B$1:$C$301,2,0)</f>
        <v>31</v>
      </c>
      <c r="T22" s="90">
        <f>VLOOKUP(B22,'MT-MO'!$A$3:$C$31,2,0)</f>
        <v>1</v>
      </c>
      <c r="U22" s="90">
        <f>VLOOKUP(B22,'MT-MO'!$A$3:$C$31,3,0)</f>
        <v>0</v>
      </c>
      <c r="V22" s="92">
        <f t="shared" si="2"/>
        <v>1400</v>
      </c>
      <c r="W22" s="92">
        <f t="shared" si="3"/>
        <v>0</v>
      </c>
      <c r="X22" s="80">
        <f t="shared" si="4"/>
        <v>44713</v>
      </c>
      <c r="Y22" s="80">
        <f t="shared" si="5"/>
        <v>44747</v>
      </c>
      <c r="Z22" s="95" t="s">
        <v>27</v>
      </c>
      <c r="AA22" s="96" t="s">
        <v>325</v>
      </c>
      <c r="AB22" s="96" t="s">
        <v>326</v>
      </c>
      <c r="AC22" s="96" t="s">
        <v>295</v>
      </c>
      <c r="AD22" s="80"/>
      <c r="AE22" s="89">
        <f t="shared" si="9"/>
        <v>0</v>
      </c>
      <c r="AF22" s="145" t="str">
        <f>IFERROR(VLOOKUP(K22,SEMANAS!$B$1:$C$301,2,0),"")</f>
        <v/>
      </c>
      <c r="AG22" s="102">
        <f t="shared" si="10"/>
        <v>0</v>
      </c>
      <c r="AH22" s="100">
        <f>IFERROR(VLOOKUP(L22,SEMANAS!$B$1:$C$301,2,0),"EXE")</f>
        <v>31</v>
      </c>
      <c r="AI22" s="100">
        <f>IFERROR(VLOOKUP(M22,SEMANAS!$B$1:$C$301,2,0),"EXE")</f>
        <v>31</v>
      </c>
      <c r="AJ22" s="101">
        <f>IF(AI22="EXE",0,Q22)</f>
        <v>1400</v>
      </c>
    </row>
    <row r="23" spans="1:36">
      <c r="A23" t="s">
        <v>56</v>
      </c>
      <c r="B23" t="s">
        <v>57</v>
      </c>
      <c r="C23" t="s">
        <v>34</v>
      </c>
      <c r="D23" t="s">
        <v>31</v>
      </c>
      <c r="E23" t="s">
        <v>16</v>
      </c>
      <c r="F23" s="97" t="str">
        <f t="shared" si="0"/>
        <v>Rev. da CirculaçãoPAV1</v>
      </c>
      <c r="G23" s="80">
        <v>44728</v>
      </c>
      <c r="H23" s="80">
        <v>44735</v>
      </c>
      <c r="I23" s="105"/>
      <c r="J23" s="81"/>
      <c r="K23" s="81"/>
      <c r="L23" s="139">
        <f>IF(J23&gt;0,"executado",VLOOKUP(F23,REPLAN!$A$6:$C$127,2,0))</f>
        <v>44734</v>
      </c>
      <c r="M23" s="139">
        <f>IF(J23&gt;0,"executado",VLOOKUP(F23,REPLAN!$A$6:$C$127,3,0))</f>
        <v>44741</v>
      </c>
      <c r="N23" s="88">
        <v>22.5</v>
      </c>
      <c r="O23" s="88" t="s">
        <v>195</v>
      </c>
      <c r="P23" s="89">
        <f>VLOOKUP(B23,'CUSTO ATIVIDADE'!$A$1:$B$30,2,0)</f>
        <v>160.77478755454416</v>
      </c>
      <c r="Q23" s="91">
        <f t="shared" si="8"/>
        <v>3617.4327199772438</v>
      </c>
      <c r="R23" s="88">
        <f>VLOOKUP(G23,SEMANAS!$B$1:$C$301,2,0)</f>
        <v>30</v>
      </c>
      <c r="S23" s="88">
        <f>VLOOKUP(H23,SEMANAS!$B$1:$C$301,2,0)</f>
        <v>31</v>
      </c>
      <c r="T23" s="90">
        <f>VLOOKUP(B23,'MT-MO'!$A$3:$C$31,2,0)</f>
        <v>0.28742225293711127</v>
      </c>
      <c r="U23" s="90">
        <f>VLOOKUP(B23,'MT-MO'!$A$3:$C$31,3,0)</f>
        <v>0.71257774706288879</v>
      </c>
      <c r="V23" s="92">
        <f t="shared" si="2"/>
        <v>1039.7306622242818</v>
      </c>
      <c r="W23" s="92">
        <f t="shared" si="3"/>
        <v>2577.7020577529624</v>
      </c>
      <c r="X23" s="80">
        <f t="shared" si="4"/>
        <v>44713</v>
      </c>
      <c r="Y23" s="80">
        <f t="shared" si="5"/>
        <v>44750</v>
      </c>
      <c r="Z23" s="95" t="s">
        <v>27</v>
      </c>
      <c r="AA23" s="96" t="s">
        <v>327</v>
      </c>
      <c r="AB23" s="96" t="s">
        <v>328</v>
      </c>
      <c r="AC23" s="96" t="s">
        <v>295</v>
      </c>
      <c r="AD23" s="80"/>
      <c r="AE23" s="89">
        <f t="shared" si="9"/>
        <v>0</v>
      </c>
      <c r="AF23" s="145" t="str">
        <f>IFERROR(VLOOKUP(K23,SEMANAS!$B$1:$C$301,2,0),"")</f>
        <v/>
      </c>
      <c r="AG23" s="102">
        <f t="shared" si="10"/>
        <v>0</v>
      </c>
      <c r="AH23" s="100">
        <f>IFERROR(VLOOKUP(L23,SEMANAS!$B$1:$C$301,2,0),"EXE")</f>
        <v>31</v>
      </c>
      <c r="AI23" s="100">
        <f>IFERROR(VLOOKUP(M23,SEMANAS!$B$1:$C$301,2,0),"EXE")</f>
        <v>32</v>
      </c>
      <c r="AJ23" s="101">
        <f>IF(AI23="EXE",0,Q23)</f>
        <v>3617.4327199772438</v>
      </c>
    </row>
    <row r="24" spans="1:36">
      <c r="A24" t="s">
        <v>58</v>
      </c>
      <c r="B24" t="s">
        <v>59</v>
      </c>
      <c r="D24" t="s">
        <v>31</v>
      </c>
      <c r="E24" t="s">
        <v>16</v>
      </c>
      <c r="F24" s="97" t="str">
        <f t="shared" si="0"/>
        <v>Pintura Interna - 1ªdmãoPAV1</v>
      </c>
      <c r="G24" s="80">
        <v>44735</v>
      </c>
      <c r="H24" s="80">
        <v>44742</v>
      </c>
      <c r="I24" s="105"/>
      <c r="J24" s="81"/>
      <c r="K24" s="81"/>
      <c r="L24" s="139">
        <f>IF(J24&gt;0,"executado",VLOOKUP(F24,REPLAN!$A$6:$C$127,2,0))</f>
        <v>44741</v>
      </c>
      <c r="M24" s="139">
        <f>IF(J24&gt;0,"executado",VLOOKUP(F24,REPLAN!$A$6:$C$127,3,0))</f>
        <v>44748</v>
      </c>
      <c r="N24" s="88">
        <v>476.74</v>
      </c>
      <c r="O24" s="88" t="s">
        <v>195</v>
      </c>
      <c r="P24" s="89">
        <f>VLOOKUP(B24,'CUSTO ATIVIDADE'!$A$1:$B$30,2,0)</f>
        <v>31.043507801912533</v>
      </c>
      <c r="Q24" s="91">
        <f t="shared" si="8"/>
        <v>14799.681909483781</v>
      </c>
      <c r="R24" s="88">
        <f>VLOOKUP(G24,SEMANAS!$B$1:$C$301,2,0)</f>
        <v>31</v>
      </c>
      <c r="S24" s="88">
        <f>VLOOKUP(H24,SEMANAS!$B$1:$C$301,2,0)</f>
        <v>32</v>
      </c>
      <c r="T24" s="90">
        <f>VLOOKUP(B24,'MT-MO'!$A$3:$C$31,2,0)</f>
        <v>0.52623399439170238</v>
      </c>
      <c r="U24" s="90">
        <f>VLOOKUP(B24,'MT-MO'!$A$3:$C$31,3,0)</f>
        <v>0.47376600560829757</v>
      </c>
      <c r="V24" s="92">
        <f t="shared" si="2"/>
        <v>7788.0957269542669</v>
      </c>
      <c r="W24" s="92">
        <f t="shared" si="3"/>
        <v>7011.5861825295133</v>
      </c>
      <c r="X24" s="80">
        <f t="shared" si="4"/>
        <v>44720</v>
      </c>
      <c r="Y24" s="80">
        <f t="shared" si="5"/>
        <v>44757</v>
      </c>
      <c r="Z24" s="95" t="s">
        <v>27</v>
      </c>
      <c r="AA24" s="96" t="s">
        <v>318</v>
      </c>
      <c r="AB24" s="96" t="s">
        <v>329</v>
      </c>
      <c r="AC24" s="96" t="s">
        <v>295</v>
      </c>
      <c r="AD24" s="80"/>
      <c r="AE24" s="89">
        <f t="shared" si="9"/>
        <v>0</v>
      </c>
      <c r="AF24" s="145" t="str">
        <f>IFERROR(VLOOKUP(K24,SEMANAS!$B$1:$C$301,2,0),"")</f>
        <v/>
      </c>
      <c r="AG24" s="102">
        <f t="shared" si="10"/>
        <v>0</v>
      </c>
      <c r="AH24" s="100">
        <f>IFERROR(VLOOKUP(L24,SEMANAS!$B$1:$C$301,2,0),"EXE")</f>
        <v>32</v>
      </c>
      <c r="AI24" s="100">
        <f>IFERROR(VLOOKUP(M24,SEMANAS!$B$1:$C$301,2,0),"EXE")</f>
        <v>33</v>
      </c>
      <c r="AJ24" s="101">
        <f>IF(AI24="EXE",0,Q24)</f>
        <v>14799.681909483781</v>
      </c>
    </row>
    <row r="25" spans="1:36">
      <c r="A25" t="s">
        <v>60</v>
      </c>
      <c r="B25" t="s">
        <v>61</v>
      </c>
      <c r="C25" t="s">
        <v>34</v>
      </c>
      <c r="D25" t="s">
        <v>31</v>
      </c>
      <c r="E25" t="s">
        <v>41</v>
      </c>
      <c r="F25" s="97" t="str">
        <f t="shared" si="0"/>
        <v>LouçasPAV1</v>
      </c>
      <c r="G25" s="80">
        <v>44754</v>
      </c>
      <c r="H25" s="80">
        <v>44756</v>
      </c>
      <c r="I25" s="105"/>
      <c r="J25" s="81"/>
      <c r="K25" s="81"/>
      <c r="L25" s="139">
        <f>IF(J25&gt;0,"executado",VLOOKUP(F25,REPLAN!$A$6:$C$127,2,0))</f>
        <v>44754</v>
      </c>
      <c r="M25" s="139">
        <f>IF(J25&gt;0,"executado",VLOOKUP(F25,REPLAN!$A$6:$C$127,3,0))</f>
        <v>44756</v>
      </c>
      <c r="N25" s="88">
        <v>16</v>
      </c>
      <c r="O25" s="88" t="s">
        <v>199</v>
      </c>
      <c r="P25" s="89">
        <f>VLOOKUP(B25,'CUSTO ATIVIDADE'!$A$1:$B$30,2,0)</f>
        <v>327.25146699999999</v>
      </c>
      <c r="Q25" s="91">
        <f t="shared" si="8"/>
        <v>5236.0234719999999</v>
      </c>
      <c r="R25" s="88">
        <f>VLOOKUP(G25,SEMANAS!$B$1:$C$301,2,0)</f>
        <v>34</v>
      </c>
      <c r="S25" s="88">
        <f>VLOOKUP(H25,SEMANAS!$B$1:$C$301,2,0)</f>
        <v>34</v>
      </c>
      <c r="T25" s="90">
        <f>VLOOKUP(B25,'MT-MO'!$A$3:$C$31,2,0)</f>
        <v>0.15279568352194051</v>
      </c>
      <c r="U25" s="90">
        <f>VLOOKUP(B25,'MT-MO'!$A$3:$C$31,3,0)</f>
        <v>0.84720431647805949</v>
      </c>
      <c r="V25" s="92">
        <f t="shared" si="2"/>
        <v>800.04178534116409</v>
      </c>
      <c r="W25" s="92">
        <f t="shared" si="3"/>
        <v>4435.9816866588353</v>
      </c>
      <c r="X25" s="80">
        <f t="shared" si="4"/>
        <v>44739</v>
      </c>
      <c r="Y25" s="80">
        <f t="shared" si="5"/>
        <v>44771</v>
      </c>
      <c r="Z25" s="95" t="s">
        <v>27</v>
      </c>
      <c r="AA25" s="96" t="s">
        <v>330</v>
      </c>
      <c r="AB25" s="96" t="s">
        <v>331</v>
      </c>
      <c r="AC25" s="96" t="s">
        <v>295</v>
      </c>
      <c r="AD25" s="80"/>
      <c r="AE25" s="89">
        <f t="shared" si="9"/>
        <v>0</v>
      </c>
      <c r="AF25" s="145" t="str">
        <f>IFERROR(VLOOKUP(K25,SEMANAS!$B$1:$C$301,2,0),"")</f>
        <v/>
      </c>
      <c r="AG25" s="102">
        <f t="shared" si="10"/>
        <v>0</v>
      </c>
      <c r="AH25" s="100">
        <f>IFERROR(VLOOKUP(L25,SEMANAS!$B$1:$C$301,2,0),"EXE")</f>
        <v>34</v>
      </c>
      <c r="AI25" s="100">
        <f>IFERROR(VLOOKUP(M25,SEMANAS!$B$1:$C$301,2,0),"EXE")</f>
        <v>34</v>
      </c>
      <c r="AJ25" s="101">
        <f>IF(AI25="EXE",0,Q25)</f>
        <v>5236.0234719999999</v>
      </c>
    </row>
    <row r="26" spans="1:36">
      <c r="A26" t="s">
        <v>62</v>
      </c>
      <c r="B26" t="s">
        <v>63</v>
      </c>
      <c r="C26" t="s">
        <v>34</v>
      </c>
      <c r="D26" t="s">
        <v>31</v>
      </c>
      <c r="E26" t="s">
        <v>41</v>
      </c>
      <c r="F26" s="97" t="str">
        <f t="shared" si="0"/>
        <v>Portas de MadeiraPAV1</v>
      </c>
      <c r="G26" s="80">
        <v>44756</v>
      </c>
      <c r="H26" s="80">
        <v>44760</v>
      </c>
      <c r="I26" s="105"/>
      <c r="J26" s="81"/>
      <c r="K26" s="81"/>
      <c r="L26" s="139">
        <f>IF(J26&gt;0,"executado",VLOOKUP(F26,REPLAN!$A$6:$C$127,2,0))</f>
        <v>44756</v>
      </c>
      <c r="M26" s="139">
        <f>IF(J26&gt;0,"executado",VLOOKUP(F26,REPLAN!$A$6:$C$127,3,0))</f>
        <v>44760</v>
      </c>
      <c r="N26" s="88">
        <v>20</v>
      </c>
      <c r="O26" s="88" t="s">
        <v>199</v>
      </c>
      <c r="P26" s="89">
        <f>VLOOKUP(B26,'CUSTO ATIVIDADE'!$A$1:$B$30,2,0)</f>
        <v>520</v>
      </c>
      <c r="Q26" s="91">
        <f t="shared" si="8"/>
        <v>10400</v>
      </c>
      <c r="R26" s="88">
        <f>VLOOKUP(G26,SEMANAS!$B$1:$C$301,2,0)</f>
        <v>34</v>
      </c>
      <c r="S26" s="88">
        <f>VLOOKUP(H26,SEMANAS!$B$1:$C$301,2,0)</f>
        <v>35</v>
      </c>
      <c r="T26" s="90">
        <f>VLOOKUP(B26,'MT-MO'!$A$3:$C$31,2,0)</f>
        <v>0.15384615384615385</v>
      </c>
      <c r="U26" s="90">
        <f>VLOOKUP(B26,'MT-MO'!$A$3:$C$31,3,0)</f>
        <v>0.84615384615384615</v>
      </c>
      <c r="V26" s="92">
        <f t="shared" si="2"/>
        <v>1600</v>
      </c>
      <c r="W26" s="92">
        <f t="shared" si="3"/>
        <v>8800</v>
      </c>
      <c r="X26" s="80">
        <f t="shared" si="4"/>
        <v>44741</v>
      </c>
      <c r="Y26" s="80">
        <f t="shared" si="5"/>
        <v>44775</v>
      </c>
      <c r="Z26" s="95" t="s">
        <v>27</v>
      </c>
      <c r="AA26" s="96" t="s">
        <v>332</v>
      </c>
      <c r="AB26" s="96" t="s">
        <v>333</v>
      </c>
      <c r="AC26" s="96" t="s">
        <v>295</v>
      </c>
      <c r="AD26" s="80"/>
      <c r="AE26" s="89">
        <f t="shared" si="9"/>
        <v>0</v>
      </c>
      <c r="AF26" s="145" t="str">
        <f>IFERROR(VLOOKUP(K26,SEMANAS!$B$1:$C$301,2,0),"")</f>
        <v/>
      </c>
      <c r="AG26" s="102">
        <f t="shared" si="10"/>
        <v>0</v>
      </c>
      <c r="AH26" s="100">
        <f>IFERROR(VLOOKUP(L26,SEMANAS!$B$1:$C$301,2,0),"EXE")</f>
        <v>34</v>
      </c>
      <c r="AI26" s="100">
        <f>IFERROR(VLOOKUP(M26,SEMANAS!$B$1:$C$301,2,0),"EXE")</f>
        <v>35</v>
      </c>
      <c r="AJ26" s="101">
        <f>IF(AI26="EXE",0,Q26)</f>
        <v>10400</v>
      </c>
    </row>
    <row r="27" spans="1:36">
      <c r="A27" t="s">
        <v>64</v>
      </c>
      <c r="B27" t="s">
        <v>65</v>
      </c>
      <c r="D27" t="s">
        <v>31</v>
      </c>
      <c r="E27" t="s">
        <v>16</v>
      </c>
      <c r="F27" s="97" t="str">
        <f t="shared" si="0"/>
        <v>Piso Laminado + RodapéPAV1</v>
      </c>
      <c r="G27" s="80">
        <v>44761</v>
      </c>
      <c r="H27" s="80">
        <v>44767</v>
      </c>
      <c r="I27" s="105"/>
      <c r="J27" s="81"/>
      <c r="K27" s="81"/>
      <c r="L27" s="139">
        <f>IF(J27&gt;0,"executado",VLOOKUP(F27,REPLAN!$A$6:$C$127,2,0))</f>
        <v>44761</v>
      </c>
      <c r="M27" s="139">
        <f>IF(J27&gt;0,"executado",VLOOKUP(F27,REPLAN!$A$6:$C$127,3,0))</f>
        <v>44767</v>
      </c>
      <c r="N27" s="88">
        <v>80.88</v>
      </c>
      <c r="O27" s="88" t="s">
        <v>195</v>
      </c>
      <c r="P27" s="89">
        <f>VLOOKUP(B27,'CUSTO ATIVIDADE'!$A$1:$B$30,2,0)</f>
        <v>162.85785630043145</v>
      </c>
      <c r="Q27" s="91">
        <f t="shared" si="8"/>
        <v>13171.943417578896</v>
      </c>
      <c r="R27" s="88">
        <f>VLOOKUP(G27,SEMANAS!$B$1:$C$301,2,0)</f>
        <v>35</v>
      </c>
      <c r="S27" s="88">
        <f>VLOOKUP(H27,SEMANAS!$B$1:$C$301,2,0)</f>
        <v>36</v>
      </c>
      <c r="T27" s="90">
        <f>VLOOKUP(B27,'MT-MO'!$A$3:$C$31,2,0)</f>
        <v>0.15351618107620765</v>
      </c>
      <c r="U27" s="90">
        <f>VLOOKUP(B27,'MT-MO'!$A$3:$C$31,3,0)</f>
        <v>0.84648381892379232</v>
      </c>
      <c r="V27" s="92">
        <f t="shared" si="2"/>
        <v>2022.1064508186032</v>
      </c>
      <c r="W27" s="92">
        <f t="shared" si="3"/>
        <v>11149.836966760293</v>
      </c>
      <c r="X27" s="80">
        <f t="shared" si="4"/>
        <v>44746</v>
      </c>
      <c r="Y27" s="80">
        <f t="shared" si="5"/>
        <v>44782</v>
      </c>
      <c r="Z27" s="95" t="s">
        <v>27</v>
      </c>
      <c r="AA27" s="96" t="s">
        <v>334</v>
      </c>
      <c r="AB27" s="96" t="s">
        <v>335</v>
      </c>
      <c r="AC27" s="96" t="s">
        <v>295</v>
      </c>
      <c r="AD27" s="80"/>
      <c r="AE27" s="89">
        <f t="shared" si="9"/>
        <v>0</v>
      </c>
      <c r="AF27" s="145" t="str">
        <f>IFERROR(VLOOKUP(K27,SEMANAS!$B$1:$C$301,2,0),"")</f>
        <v/>
      </c>
      <c r="AG27" s="102">
        <f t="shared" si="10"/>
        <v>0</v>
      </c>
      <c r="AH27" s="100">
        <f>IFERROR(VLOOKUP(L27,SEMANAS!$B$1:$C$301,2,0),"EXE")</f>
        <v>35</v>
      </c>
      <c r="AI27" s="100">
        <f>IFERROR(VLOOKUP(M27,SEMANAS!$B$1:$C$301,2,0),"EXE")</f>
        <v>36</v>
      </c>
      <c r="AJ27" s="101">
        <f>IF(AI27="EXE",0,Q27)</f>
        <v>13171.943417578896</v>
      </c>
    </row>
    <row r="28" spans="1:36">
      <c r="A28" t="s">
        <v>66</v>
      </c>
      <c r="B28" t="s">
        <v>67</v>
      </c>
      <c r="D28" t="s">
        <v>31</v>
      </c>
      <c r="E28" t="s">
        <v>41</v>
      </c>
      <c r="F28" s="97" t="str">
        <f t="shared" si="0"/>
        <v>MetaisPAV1</v>
      </c>
      <c r="G28" s="80">
        <v>44777</v>
      </c>
      <c r="H28" s="80">
        <v>44781</v>
      </c>
      <c r="I28" s="105"/>
      <c r="J28" s="81"/>
      <c r="K28" s="81"/>
      <c r="L28" s="139">
        <f>IF(J28&gt;0,"executado",VLOOKUP(F28,REPLAN!$A$6:$C$127,2,0))</f>
        <v>44777</v>
      </c>
      <c r="M28" s="139">
        <f>IF(J28&gt;0,"executado",VLOOKUP(F28,REPLAN!$A$6:$C$127,3,0))</f>
        <v>44781</v>
      </c>
      <c r="N28" s="88">
        <v>12</v>
      </c>
      <c r="O28" s="88" t="s">
        <v>199</v>
      </c>
      <c r="P28" s="89">
        <f>VLOOKUP(B28,'CUSTO ATIVIDADE'!$A$1:$B$30,2,0)</f>
        <v>111.67</v>
      </c>
      <c r="Q28" s="91">
        <f t="shared" si="8"/>
        <v>1340.04</v>
      </c>
      <c r="R28" s="88">
        <f>VLOOKUP(G28,SEMANAS!$B$1:$C$301,2,0)</f>
        <v>37</v>
      </c>
      <c r="S28" s="88">
        <f>VLOOKUP(H28,SEMANAS!$B$1:$C$301,2,0)</f>
        <v>38</v>
      </c>
      <c r="T28" s="90">
        <f>VLOOKUP(B28,'MT-MO'!$A$3:$C$31,2,0)</f>
        <v>0.44776119402985076</v>
      </c>
      <c r="U28" s="90">
        <f>VLOOKUP(B28,'MT-MO'!$A$3:$C$31,3,0)</f>
        <v>0.55223880597014929</v>
      </c>
      <c r="V28" s="92">
        <f t="shared" si="2"/>
        <v>600.01791044776121</v>
      </c>
      <c r="W28" s="92">
        <f t="shared" si="3"/>
        <v>740.02208955223887</v>
      </c>
      <c r="X28" s="80">
        <f t="shared" si="4"/>
        <v>44762</v>
      </c>
      <c r="Y28" s="80">
        <f t="shared" si="5"/>
        <v>44796</v>
      </c>
      <c r="Z28" s="95" t="s">
        <v>27</v>
      </c>
      <c r="AA28" s="96" t="s">
        <v>336</v>
      </c>
      <c r="AB28" s="96" t="s">
        <v>337</v>
      </c>
      <c r="AC28" s="96" t="s">
        <v>295</v>
      </c>
      <c r="AD28" s="80"/>
      <c r="AE28" s="89">
        <f t="shared" si="9"/>
        <v>0</v>
      </c>
      <c r="AF28" s="145" t="str">
        <f>IFERROR(VLOOKUP(K28,SEMANAS!$B$1:$C$301,2,0),"")</f>
        <v/>
      </c>
      <c r="AG28" s="102">
        <f t="shared" si="10"/>
        <v>0</v>
      </c>
      <c r="AH28" s="100">
        <f>IFERROR(VLOOKUP(L28,SEMANAS!$B$1:$C$301,2,0),"EXE")</f>
        <v>37</v>
      </c>
      <c r="AI28" s="100">
        <f>IFERROR(VLOOKUP(M28,SEMANAS!$B$1:$C$301,2,0),"EXE")</f>
        <v>38</v>
      </c>
      <c r="AJ28" s="101">
        <f>IF(AI28="EXE",0,Q28)</f>
        <v>1340.04</v>
      </c>
    </row>
    <row r="29" spans="1:36">
      <c r="A29" t="s">
        <v>68</v>
      </c>
      <c r="B29" t="s">
        <v>69</v>
      </c>
      <c r="D29" t="s">
        <v>31</v>
      </c>
      <c r="E29" t="s">
        <v>41</v>
      </c>
      <c r="F29" s="97" t="str">
        <f t="shared" si="0"/>
        <v>Acabamentos ElétricosPAV1</v>
      </c>
      <c r="G29" s="80">
        <v>44777</v>
      </c>
      <c r="H29" s="80">
        <v>44781</v>
      </c>
      <c r="I29" s="105"/>
      <c r="J29" s="81"/>
      <c r="K29" s="81"/>
      <c r="L29" s="139">
        <f>IF(J29&gt;0,"executado",VLOOKUP(F29,REPLAN!$A$6:$C$127,2,0))</f>
        <v>44777</v>
      </c>
      <c r="M29" s="139">
        <f>IF(J29&gt;0,"executado",VLOOKUP(F29,REPLAN!$A$6:$C$127,3,0))</f>
        <v>44781</v>
      </c>
      <c r="N29" s="87">
        <v>4</v>
      </c>
      <c r="O29" s="88" t="s">
        <v>200</v>
      </c>
      <c r="P29" s="89">
        <f>VLOOKUP(B29,'CUSTO ATIVIDADE'!$A$1:$B$30,2,0)</f>
        <v>513.50426281564182</v>
      </c>
      <c r="Q29" s="91">
        <f t="shared" si="8"/>
        <v>2054.0170512625673</v>
      </c>
      <c r="R29" s="88">
        <f>VLOOKUP(G29,SEMANAS!$B$1:$C$301,2,0)</f>
        <v>37</v>
      </c>
      <c r="S29" s="88">
        <f>VLOOKUP(H29,SEMANAS!$B$1:$C$301,2,0)</f>
        <v>38</v>
      </c>
      <c r="T29" s="90">
        <f>VLOOKUP(B29,'MT-MO'!$A$3:$C$32,2,0)</f>
        <v>0.45</v>
      </c>
      <c r="U29" s="90">
        <f>VLOOKUP(B29,'MT-MO'!$A$3:$C$32,3,0)</f>
        <v>0.55000000000000004</v>
      </c>
      <c r="V29" s="92">
        <f t="shared" si="2"/>
        <v>924.30767306815528</v>
      </c>
      <c r="W29" s="92">
        <f t="shared" si="3"/>
        <v>1129.709378194412</v>
      </c>
      <c r="X29" s="80">
        <f t="shared" si="4"/>
        <v>44762</v>
      </c>
      <c r="Y29" s="80">
        <f t="shared" si="5"/>
        <v>44796</v>
      </c>
      <c r="Z29" s="95" t="s">
        <v>27</v>
      </c>
      <c r="AA29" s="96" t="s">
        <v>318</v>
      </c>
      <c r="AB29" s="96" t="s">
        <v>338</v>
      </c>
      <c r="AC29" s="96" t="s">
        <v>295</v>
      </c>
      <c r="AD29" s="80"/>
      <c r="AE29" s="89">
        <f t="shared" si="9"/>
        <v>0</v>
      </c>
      <c r="AF29" s="145" t="str">
        <f>IFERROR(VLOOKUP(K29,SEMANAS!$B$1:$C$301,2,0),"")</f>
        <v/>
      </c>
      <c r="AG29" s="102">
        <f t="shared" si="10"/>
        <v>0</v>
      </c>
      <c r="AH29" s="100">
        <f>IFERROR(VLOOKUP(L29,SEMANAS!$B$1:$C$301,2,0),"EXE")</f>
        <v>37</v>
      </c>
      <c r="AI29" s="100">
        <f>IFERROR(VLOOKUP(M29,SEMANAS!$B$1:$C$301,2,0),"EXE")</f>
        <v>38</v>
      </c>
      <c r="AJ29" s="101">
        <f>IF(AI29="EXE",0,Q29)</f>
        <v>2054.0170512625673</v>
      </c>
    </row>
    <row r="30" spans="1:36">
      <c r="A30" t="s">
        <v>70</v>
      </c>
      <c r="B30" t="s">
        <v>71</v>
      </c>
      <c r="D30" t="s">
        <v>31</v>
      </c>
      <c r="E30" t="s">
        <v>16</v>
      </c>
      <c r="F30" s="97" t="str">
        <f t="shared" si="0"/>
        <v>Pintura FinalPAV1</v>
      </c>
      <c r="G30" s="80">
        <v>44782</v>
      </c>
      <c r="H30" s="80">
        <v>44788</v>
      </c>
      <c r="I30" s="105"/>
      <c r="J30" s="81"/>
      <c r="K30" s="81"/>
      <c r="L30" s="139">
        <f>IF(J30&gt;0,"executado",VLOOKUP(F30,REPLAN!$A$6:$C$127,2,0))</f>
        <v>44782</v>
      </c>
      <c r="M30" s="139">
        <f>IF(J30&gt;0,"executado",VLOOKUP(F30,REPLAN!$A$6:$C$127,3,0))</f>
        <v>44788</v>
      </c>
      <c r="N30" s="88">
        <v>614.55999999999995</v>
      </c>
      <c r="O30" s="88" t="s">
        <v>195</v>
      </c>
      <c r="P30" s="89">
        <f>VLOOKUP(B30,'CUSTO ATIVIDADE'!$A$1:$B$30,2,0)</f>
        <v>6</v>
      </c>
      <c r="Q30" s="91">
        <f t="shared" si="8"/>
        <v>3687.3599999999997</v>
      </c>
      <c r="R30" s="88">
        <f>VLOOKUP(G30,SEMANAS!$B$1:$C$301,2,0)</f>
        <v>38</v>
      </c>
      <c r="S30" s="88">
        <f>VLOOKUP(H30,SEMANAS!$B$1:$C$301,2,0)</f>
        <v>39</v>
      </c>
      <c r="T30" s="90">
        <f>VLOOKUP(B30,'MT-MO'!$A$3:$C$31,2,0)</f>
        <v>1</v>
      </c>
      <c r="U30" s="90">
        <f>VLOOKUP(B30,'MT-MO'!$A$3:$C$31,3,0)</f>
        <v>0</v>
      </c>
      <c r="V30" s="92">
        <f t="shared" si="2"/>
        <v>3687.3599999999997</v>
      </c>
      <c r="W30" s="92">
        <f t="shared" si="3"/>
        <v>0</v>
      </c>
      <c r="X30" s="80">
        <f t="shared" si="4"/>
        <v>44767</v>
      </c>
      <c r="Y30" s="80">
        <f t="shared" si="5"/>
        <v>44803</v>
      </c>
      <c r="Z30" s="95" t="s">
        <v>27</v>
      </c>
      <c r="AA30" s="96" t="s">
        <v>318</v>
      </c>
      <c r="AB30" s="96" t="s">
        <v>339</v>
      </c>
      <c r="AC30" s="96" t="s">
        <v>295</v>
      </c>
      <c r="AD30" s="80"/>
      <c r="AE30" s="89">
        <f t="shared" si="9"/>
        <v>0</v>
      </c>
      <c r="AF30" s="145" t="str">
        <f>IFERROR(VLOOKUP(K30,SEMANAS!$B$1:$C$301,2,0),"")</f>
        <v/>
      </c>
      <c r="AG30" s="102">
        <f t="shared" si="10"/>
        <v>0</v>
      </c>
      <c r="AH30" s="100">
        <f>IFERROR(VLOOKUP(L30,SEMANAS!$B$1:$C$301,2,0),"EXE")</f>
        <v>38</v>
      </c>
      <c r="AI30" s="100">
        <f>IFERROR(VLOOKUP(M30,SEMANAS!$B$1:$C$301,2,0),"EXE")</f>
        <v>39</v>
      </c>
      <c r="AJ30" s="101">
        <f>IF(AI30="EXE",0,Q30)</f>
        <v>3687.3599999999997</v>
      </c>
    </row>
    <row r="31" spans="1:36">
      <c r="A31" t="s">
        <v>72</v>
      </c>
      <c r="B31" t="s">
        <v>73</v>
      </c>
      <c r="D31" t="s">
        <v>31</v>
      </c>
      <c r="E31" t="s">
        <v>41</v>
      </c>
      <c r="F31" s="97" t="str">
        <f t="shared" si="0"/>
        <v>Complementação e LimpezaPAV1</v>
      </c>
      <c r="G31" s="80">
        <v>44789</v>
      </c>
      <c r="H31" s="80">
        <v>44791</v>
      </c>
      <c r="I31" s="105"/>
      <c r="J31" s="81"/>
      <c r="K31" s="81"/>
      <c r="L31" s="139">
        <f>IF(J31&gt;0,"executado",VLOOKUP(F31,REPLAN!$A$6:$C$127,2,0))</f>
        <v>44798</v>
      </c>
      <c r="M31" s="139">
        <f>IF(J31&gt;0,"executado",VLOOKUP(F31,REPLAN!$A$6:$C$127,3,0))</f>
        <v>44802</v>
      </c>
      <c r="N31" s="88">
        <v>0.25</v>
      </c>
      <c r="O31" s="88" t="s">
        <v>197</v>
      </c>
      <c r="P31" s="89">
        <f>VLOOKUP(B31,'CUSTO ATIVIDADE'!$A$1:$B$30,2,0)</f>
        <v>2000</v>
      </c>
      <c r="Q31" s="91">
        <f t="shared" si="8"/>
        <v>500</v>
      </c>
      <c r="R31" s="88">
        <f>VLOOKUP(G31,SEMANAS!$B$1:$C$301,2,0)</f>
        <v>39</v>
      </c>
      <c r="S31" s="88">
        <f>VLOOKUP(H31,SEMANAS!$B$1:$C$301,2,0)</f>
        <v>39</v>
      </c>
      <c r="T31" s="90">
        <f>VLOOKUP(B31,'MT-MO'!$A$3:$C$31,2,0)</f>
        <v>1</v>
      </c>
      <c r="U31" s="90">
        <f>VLOOKUP(B31,'MT-MO'!$A$3:$C$31,3,0)</f>
        <v>0</v>
      </c>
      <c r="V31" s="92">
        <f t="shared" si="2"/>
        <v>500</v>
      </c>
      <c r="W31" s="92">
        <f t="shared" si="3"/>
        <v>0</v>
      </c>
      <c r="X31" s="80">
        <f t="shared" si="4"/>
        <v>44774</v>
      </c>
      <c r="Y31" s="80">
        <f t="shared" si="5"/>
        <v>44806</v>
      </c>
      <c r="Z31" s="95" t="s">
        <v>27</v>
      </c>
      <c r="AA31" s="96" t="s">
        <v>318</v>
      </c>
      <c r="AB31" s="96" t="s">
        <v>340</v>
      </c>
      <c r="AC31" s="96" t="s">
        <v>295</v>
      </c>
      <c r="AD31" s="80"/>
      <c r="AE31" s="89">
        <f t="shared" si="9"/>
        <v>0</v>
      </c>
      <c r="AF31" s="145" t="str">
        <f>IFERROR(VLOOKUP(K31,SEMANAS!$B$1:$C$301,2,0),"")</f>
        <v/>
      </c>
      <c r="AG31" s="102">
        <f t="shared" si="10"/>
        <v>0</v>
      </c>
      <c r="AH31" s="100">
        <f>IFERROR(VLOOKUP(L31,SEMANAS!$B$1:$C$301,2,0),"EXE")</f>
        <v>40</v>
      </c>
      <c r="AI31" s="100">
        <f>IFERROR(VLOOKUP(M31,SEMANAS!$B$1:$C$301,2,0),"EXE")</f>
        <v>41</v>
      </c>
      <c r="AJ31" s="101">
        <f>IF(AI31="EXE",0,Q31)</f>
        <v>500</v>
      </c>
    </row>
    <row r="32" spans="1:36">
      <c r="A32" s="108" t="s">
        <v>74</v>
      </c>
      <c r="B32" s="108" t="s">
        <v>75</v>
      </c>
      <c r="C32" s="108"/>
      <c r="D32" s="108"/>
      <c r="E32" s="108" t="s">
        <v>76</v>
      </c>
      <c r="F32" s="108" t="str">
        <f t="shared" si="0"/>
        <v>PAV2</v>
      </c>
      <c r="G32" s="109">
        <v>44579</v>
      </c>
      <c r="H32" s="109">
        <v>44798</v>
      </c>
      <c r="I32" s="110"/>
      <c r="J32" s="111"/>
      <c r="K32" s="111"/>
      <c r="L32" s="140"/>
      <c r="M32" s="108"/>
      <c r="N32" s="111"/>
      <c r="O32" s="111"/>
      <c r="P32" s="112"/>
      <c r="Q32" s="111"/>
      <c r="R32" s="111">
        <f>VLOOKUP(G32,SEMANAS!$B$1:$C$301,2,0)</f>
        <v>9</v>
      </c>
      <c r="S32" s="111">
        <f>VLOOKUP(H32,SEMANAS!$B$1:$C$301,2,0)</f>
        <v>40</v>
      </c>
      <c r="T32" s="110"/>
      <c r="U32" s="110"/>
      <c r="V32" s="113">
        <f t="shared" si="2"/>
        <v>0</v>
      </c>
      <c r="W32" s="113">
        <f t="shared" si="3"/>
        <v>0</v>
      </c>
      <c r="X32" s="109">
        <f t="shared" si="4"/>
        <v>44564</v>
      </c>
      <c r="Y32" s="109">
        <f t="shared" si="5"/>
        <v>44813</v>
      </c>
      <c r="Z32" s="106"/>
      <c r="AA32" s="107" t="s">
        <v>9</v>
      </c>
      <c r="AB32" s="107"/>
      <c r="AC32" s="107"/>
      <c r="AD32" s="110"/>
      <c r="AE32" s="109"/>
      <c r="AF32" s="144"/>
      <c r="AG32" s="114"/>
      <c r="AH32" s="111"/>
      <c r="AI32" s="111"/>
      <c r="AJ32" s="115"/>
    </row>
    <row r="33" spans="1:36" hidden="1">
      <c r="A33" t="s">
        <v>77</v>
      </c>
      <c r="B33" t="s">
        <v>30</v>
      </c>
      <c r="D33" t="s">
        <v>31</v>
      </c>
      <c r="E33" t="s">
        <v>16</v>
      </c>
      <c r="F33" s="97" t="str">
        <f t="shared" si="0"/>
        <v>Alvenaria EstruturalPAV2</v>
      </c>
      <c r="G33" s="80">
        <v>44579</v>
      </c>
      <c r="H33" s="80">
        <v>44585</v>
      </c>
      <c r="I33" s="105">
        <v>1</v>
      </c>
      <c r="J33" s="116">
        <v>44221</v>
      </c>
      <c r="K33" s="116">
        <v>44592</v>
      </c>
      <c r="L33" s="139" t="str">
        <f>IF(J33&gt;0,"executado",VLOOKUP(F33,REPLAN!$A$6:$C$127,2,0))</f>
        <v>executado</v>
      </c>
      <c r="M33" s="139" t="str">
        <f>IF(J33&gt;0,"executado",VLOOKUP(F33,REPLAN!$A$6:$C$127,3,0))</f>
        <v>executado</v>
      </c>
      <c r="N33" s="88">
        <v>390.7</v>
      </c>
      <c r="O33" s="88" t="s">
        <v>195</v>
      </c>
      <c r="P33" s="89">
        <f>VLOOKUP(B33,'CUSTO ATIVIDADE'!$A$1:$B$30,2,0)</f>
        <v>247.89395397660905</v>
      </c>
      <c r="Q33" s="91">
        <f t="shared" ref="Q33:Q53" si="11">P33*N33</f>
        <v>96852.167818661153</v>
      </c>
      <c r="R33" s="88">
        <f>VLOOKUP(G33,SEMANAS!$B$1:$C$301,2,0)</f>
        <v>9</v>
      </c>
      <c r="S33" s="88">
        <f>VLOOKUP(H33,SEMANAS!$B$1:$C$301,2,0)</f>
        <v>10</v>
      </c>
      <c r="T33" s="90">
        <f>VLOOKUP(B33,'MT-MO'!$A$3:$C$31,2,0)</f>
        <v>0.13858702989570013</v>
      </c>
      <c r="U33" s="90">
        <f>VLOOKUP(B33,'MT-MO'!$A$3:$C$31,3,0)</f>
        <v>0.86141297010429985</v>
      </c>
      <c r="V33" s="92">
        <f t="shared" si="2"/>
        <v>13422.45427694816</v>
      </c>
      <c r="W33" s="92">
        <f t="shared" si="3"/>
        <v>83429.71354171299</v>
      </c>
      <c r="X33" s="80">
        <f t="shared" si="4"/>
        <v>44564</v>
      </c>
      <c r="Y33" s="80">
        <f t="shared" si="5"/>
        <v>44600</v>
      </c>
      <c r="Z33" s="95" t="s">
        <v>75</v>
      </c>
      <c r="AA33" s="96" t="s">
        <v>341</v>
      </c>
      <c r="AB33" s="96" t="s">
        <v>305</v>
      </c>
      <c r="AC33" s="96" t="s">
        <v>295</v>
      </c>
      <c r="AD33" s="90">
        <v>1</v>
      </c>
      <c r="AE33" s="89">
        <f t="shared" ref="AE33:AE53" si="12">AD33*Q33</f>
        <v>96852.167818661153</v>
      </c>
      <c r="AF33" s="145">
        <f>IFERROR(VLOOKUP(K33,SEMANAS!$B$1:$C$301,2,0),"")</f>
        <v>11</v>
      </c>
      <c r="AG33" s="102">
        <f t="shared" ref="AG33:AG53" si="13">Q33*I33</f>
        <v>96852.167818661153</v>
      </c>
      <c r="AH33" s="100" t="str">
        <f>IFERROR(VLOOKUP(L33,SEMANAS!$B$1:$C$301,2,0),"EXE")</f>
        <v>EXE</v>
      </c>
      <c r="AI33" s="100" t="str">
        <f>IFERROR(VLOOKUP(M33,SEMANAS!$B$1:$C$301,2,0),"EXE")</f>
        <v>EXE</v>
      </c>
      <c r="AJ33" s="101">
        <f>IF(AI33="EXE",0,Q33)</f>
        <v>0</v>
      </c>
    </row>
    <row r="34" spans="1:36" hidden="1">
      <c r="A34" t="s">
        <v>78</v>
      </c>
      <c r="B34" t="s">
        <v>33</v>
      </c>
      <c r="C34" t="s">
        <v>34</v>
      </c>
      <c r="D34" t="s">
        <v>31</v>
      </c>
      <c r="E34" t="s">
        <v>16</v>
      </c>
      <c r="F34" s="97" t="str">
        <f t="shared" si="0"/>
        <v>Estrutura Moldado in LocoPAV2</v>
      </c>
      <c r="G34" s="80">
        <v>44586</v>
      </c>
      <c r="H34" s="80">
        <v>44592</v>
      </c>
      <c r="I34" s="105">
        <v>1</v>
      </c>
      <c r="J34" s="116">
        <v>44593</v>
      </c>
      <c r="K34" s="116">
        <v>44599</v>
      </c>
      <c r="L34" s="139" t="str">
        <f>IF(J34&gt;0,"executado",VLOOKUP(F34,REPLAN!$A$6:$C$127,2,0))</f>
        <v>executado</v>
      </c>
      <c r="M34" s="139" t="str">
        <f>IF(J34&gt;0,"executado",VLOOKUP(F34,REPLAN!$A$6:$C$127,3,0))</f>
        <v>executado</v>
      </c>
      <c r="N34" s="88">
        <v>25.44</v>
      </c>
      <c r="O34" s="88" t="s">
        <v>196</v>
      </c>
      <c r="P34" s="89">
        <f>VLOOKUP(B34,'CUSTO ATIVIDADE'!$A$1:$B$30,2,0)</f>
        <v>2550.8020330415566</v>
      </c>
      <c r="Q34" s="91">
        <f t="shared" si="11"/>
        <v>64892.403720577204</v>
      </c>
      <c r="R34" s="88">
        <f>VLOOKUP(G34,SEMANAS!$B$1:$C$301,2,0)</f>
        <v>10</v>
      </c>
      <c r="S34" s="88">
        <f>VLOOKUP(H34,SEMANAS!$B$1:$C$301,2,0)</f>
        <v>11</v>
      </c>
      <c r="T34" s="90">
        <f>VLOOKUP(B34,'MT-MO'!$A$3:$C$31,2,0)</f>
        <v>0.38396280966583479</v>
      </c>
      <c r="U34" s="90">
        <f>VLOOKUP(B34,'MT-MO'!$A$3:$C$31,3,0)</f>
        <v>0.61603719033416515</v>
      </c>
      <c r="V34" s="92">
        <f t="shared" si="2"/>
        <v>24916.269658522495</v>
      </c>
      <c r="W34" s="92">
        <f t="shared" si="3"/>
        <v>39976.134062054705</v>
      </c>
      <c r="X34" s="80">
        <f t="shared" si="4"/>
        <v>44571</v>
      </c>
      <c r="Y34" s="80">
        <f t="shared" si="5"/>
        <v>44607</v>
      </c>
      <c r="Z34" s="95" t="s">
        <v>75</v>
      </c>
      <c r="AA34" s="96" t="s">
        <v>342</v>
      </c>
      <c r="AB34" s="96" t="s">
        <v>307</v>
      </c>
      <c r="AC34" s="96" t="s">
        <v>295</v>
      </c>
      <c r="AD34" s="90">
        <v>1</v>
      </c>
      <c r="AE34" s="89">
        <f t="shared" si="12"/>
        <v>64892.403720577204</v>
      </c>
      <c r="AF34" s="145">
        <f>IFERROR(VLOOKUP(K34,SEMANAS!$B$1:$C$301,2,0),"")</f>
        <v>12</v>
      </c>
      <c r="AG34" s="102">
        <f t="shared" si="13"/>
        <v>64892.403720577204</v>
      </c>
      <c r="AH34" s="100" t="str">
        <f>IFERROR(VLOOKUP(L34,SEMANAS!$B$1:$C$301,2,0),"EXE")</f>
        <v>EXE</v>
      </c>
      <c r="AI34" s="100" t="str">
        <f>IFERROR(VLOOKUP(M34,SEMANAS!$B$1:$C$301,2,0),"EXE")</f>
        <v>EXE</v>
      </c>
      <c r="AJ34" s="101">
        <f>IF(AI34="EXE",0,Q34)</f>
        <v>0</v>
      </c>
    </row>
    <row r="35" spans="1:36" hidden="1">
      <c r="A35" t="s">
        <v>79</v>
      </c>
      <c r="B35" t="s">
        <v>36</v>
      </c>
      <c r="D35" t="s">
        <v>31</v>
      </c>
      <c r="E35" t="s">
        <v>16</v>
      </c>
      <c r="F35" s="97" t="str">
        <f t="shared" si="0"/>
        <v>Instalações HidrossanitáriasPAV2</v>
      </c>
      <c r="G35" s="80">
        <v>44614</v>
      </c>
      <c r="H35" s="80">
        <v>44620</v>
      </c>
      <c r="I35" s="105">
        <v>1</v>
      </c>
      <c r="J35" s="116">
        <f>K13+1</f>
        <v>44627</v>
      </c>
      <c r="K35" s="116">
        <f>J35+4</f>
        <v>44631</v>
      </c>
      <c r="L35" s="139" t="str">
        <f>IF(J35&gt;0,"executado",VLOOKUP(F35,REPLAN!$A$6:$C$127,2,0))</f>
        <v>executado</v>
      </c>
      <c r="M35" s="139" t="str">
        <f>IF(J35&gt;0,"executado",VLOOKUP(F35,REPLAN!$A$6:$C$127,3,0))</f>
        <v>executado</v>
      </c>
      <c r="N35" s="88">
        <v>1</v>
      </c>
      <c r="O35" s="88" t="s">
        <v>198</v>
      </c>
      <c r="P35" s="89">
        <f>VLOOKUP(B35,'CUSTO ATIVIDADE'!$A$1:$B$30,2,0)</f>
        <v>13455.889210118192</v>
      </c>
      <c r="Q35" s="91">
        <f t="shared" si="11"/>
        <v>13455.889210118192</v>
      </c>
      <c r="R35" s="88">
        <f>VLOOKUP(G35,SEMANAS!$B$1:$C$301,2,0)</f>
        <v>14</v>
      </c>
      <c r="S35" s="88">
        <f>VLOOKUP(H35,SEMANAS!$B$1:$C$301,2,0)</f>
        <v>15</v>
      </c>
      <c r="T35" s="90">
        <f>VLOOKUP(B35,'MT-MO'!$A$3:$C$31,2,0)</f>
        <v>0.35672482024413354</v>
      </c>
      <c r="U35" s="90">
        <f>VLOOKUP(B35,'MT-MO'!$A$3:$C$31,3,0)</f>
        <v>0.64327517975586646</v>
      </c>
      <c r="V35" s="92">
        <f t="shared" si="2"/>
        <v>4800.0496597043884</v>
      </c>
      <c r="W35" s="92">
        <f t="shared" si="3"/>
        <v>8655.8395504138043</v>
      </c>
      <c r="X35" s="80">
        <f t="shared" si="4"/>
        <v>44599</v>
      </c>
      <c r="Y35" s="80">
        <f t="shared" si="5"/>
        <v>44635</v>
      </c>
      <c r="Z35" s="95" t="s">
        <v>75</v>
      </c>
      <c r="AA35" s="96" t="s">
        <v>343</v>
      </c>
      <c r="AB35" s="96" t="s">
        <v>309</v>
      </c>
      <c r="AC35" s="96" t="s">
        <v>295</v>
      </c>
      <c r="AD35" s="90">
        <v>1</v>
      </c>
      <c r="AE35" s="89">
        <f t="shared" si="12"/>
        <v>13455.889210118192</v>
      </c>
      <c r="AF35" s="145">
        <f>IFERROR(VLOOKUP(K35,SEMANAS!$B$1:$C$301,2,0),"")</f>
        <v>16</v>
      </c>
      <c r="AG35" s="102">
        <f t="shared" si="13"/>
        <v>13455.889210118192</v>
      </c>
      <c r="AH35" s="100" t="str">
        <f>IFERROR(VLOOKUP(L35,SEMANAS!$B$1:$C$301,2,0),"EXE")</f>
        <v>EXE</v>
      </c>
      <c r="AI35" s="100" t="str">
        <f>IFERROR(VLOOKUP(M35,SEMANAS!$B$1:$C$301,2,0),"EXE")</f>
        <v>EXE</v>
      </c>
      <c r="AJ35" s="101">
        <f>IF(AI35="EXE",0,Q35)</f>
        <v>0</v>
      </c>
    </row>
    <row r="36" spans="1:36" hidden="1">
      <c r="A36" t="s">
        <v>80</v>
      </c>
      <c r="B36" t="s">
        <v>38</v>
      </c>
      <c r="D36" t="s">
        <v>31</v>
      </c>
      <c r="E36" t="s">
        <v>16</v>
      </c>
      <c r="F36" s="97" t="str">
        <f t="shared" si="0"/>
        <v>Reboco InternoPAV2</v>
      </c>
      <c r="G36" s="80">
        <v>44628</v>
      </c>
      <c r="H36" s="80">
        <v>44634</v>
      </c>
      <c r="I36" s="105">
        <v>1</v>
      </c>
      <c r="J36" s="116">
        <v>44632</v>
      </c>
      <c r="K36" s="116">
        <v>44638</v>
      </c>
      <c r="L36" s="139" t="str">
        <f>IF(J36&gt;0,"executado",VLOOKUP(F36,REPLAN!$A$6:$C$127,2,0))</f>
        <v>executado</v>
      </c>
      <c r="M36" s="139" t="str">
        <f>IF(J36&gt;0,"executado",VLOOKUP(F36,REPLAN!$A$6:$C$127,3,0))</f>
        <v>executado</v>
      </c>
      <c r="N36" s="88">
        <v>140.59</v>
      </c>
      <c r="O36" s="88" t="s">
        <v>195</v>
      </c>
      <c r="P36" s="89">
        <f>VLOOKUP(B36,'CUSTO ATIVIDADE'!$A$1:$B$30,2,0)</f>
        <v>7</v>
      </c>
      <c r="Q36" s="91">
        <f t="shared" si="11"/>
        <v>984.13</v>
      </c>
      <c r="R36" s="88">
        <f>VLOOKUP(G36,SEMANAS!$B$1:$C$301,2,0)</f>
        <v>16</v>
      </c>
      <c r="S36" s="88">
        <f>VLOOKUP(H36,SEMANAS!$B$1:$C$301,2,0)</f>
        <v>17</v>
      </c>
      <c r="T36" s="90">
        <f>VLOOKUP(B36,'MT-MO'!$A$3:$C$31,2,0)</f>
        <v>0.26486813778256191</v>
      </c>
      <c r="U36" s="90">
        <f>VLOOKUP(B36,'MT-MO'!$A$3:$C$31,3,0)</f>
        <v>0.73513186221743809</v>
      </c>
      <c r="V36" s="92">
        <f t="shared" si="2"/>
        <v>260.66468043595268</v>
      </c>
      <c r="W36" s="92">
        <f t="shared" si="3"/>
        <v>723.46531956404738</v>
      </c>
      <c r="X36" s="80">
        <f t="shared" si="4"/>
        <v>44613</v>
      </c>
      <c r="Y36" s="80">
        <f t="shared" si="5"/>
        <v>44649</v>
      </c>
      <c r="Z36" s="95" t="s">
        <v>75</v>
      </c>
      <c r="AA36" s="96" t="s">
        <v>344</v>
      </c>
      <c r="AB36" s="96" t="s">
        <v>311</v>
      </c>
      <c r="AC36" s="96" t="s">
        <v>295</v>
      </c>
      <c r="AD36" s="90">
        <v>1</v>
      </c>
      <c r="AE36" s="89">
        <f t="shared" si="12"/>
        <v>984.13</v>
      </c>
      <c r="AF36" s="145">
        <f>IFERROR(VLOOKUP(K36,SEMANAS!$B$1:$C$301,2,0),"")</f>
        <v>17</v>
      </c>
      <c r="AG36" s="102">
        <f t="shared" si="13"/>
        <v>984.13</v>
      </c>
      <c r="AH36" s="100" t="str">
        <f>IFERROR(VLOOKUP(L36,SEMANAS!$B$1:$C$301,2,0),"EXE")</f>
        <v>EXE</v>
      </c>
      <c r="AI36" s="100" t="str">
        <f>IFERROR(VLOOKUP(M36,SEMANAS!$B$1:$C$301,2,0),"EXE")</f>
        <v>EXE</v>
      </c>
      <c r="AJ36" s="101">
        <f>IF(AI36="EXE",0,Q36)</f>
        <v>0</v>
      </c>
    </row>
    <row r="37" spans="1:36">
      <c r="A37" t="s">
        <v>81</v>
      </c>
      <c r="B37" t="s">
        <v>40</v>
      </c>
      <c r="D37" t="s">
        <v>31</v>
      </c>
      <c r="E37" t="s">
        <v>41</v>
      </c>
      <c r="F37" s="97" t="str">
        <f t="shared" si="0"/>
        <v>Shaft PAV2</v>
      </c>
      <c r="G37" s="80">
        <v>44651</v>
      </c>
      <c r="H37" s="80">
        <v>44655</v>
      </c>
      <c r="I37" s="105"/>
      <c r="J37" s="81"/>
      <c r="K37" s="81"/>
      <c r="L37" s="139">
        <f>IF(J37&gt;0,"executado",VLOOKUP(F37,REPLAN!$A$6:$C$127,2,0))</f>
        <v>44657</v>
      </c>
      <c r="M37" s="139">
        <f>IF(J37&gt;0,"executado",VLOOKUP(F37,REPLAN!$A$6:$C$127,3,0))</f>
        <v>44659</v>
      </c>
      <c r="N37" s="88">
        <v>10.69</v>
      </c>
      <c r="O37" s="88" t="s">
        <v>195</v>
      </c>
      <c r="P37" s="89">
        <f>VLOOKUP(B37,'CUSTO ATIVIDADE'!$A$1:$B$30,2,0)</f>
        <v>295.46807160325829</v>
      </c>
      <c r="Q37" s="91">
        <f t="shared" si="11"/>
        <v>3158.5536854388311</v>
      </c>
      <c r="R37" s="88">
        <f>VLOOKUP(G37,SEMANAS!$B$1:$C$301,2,0)</f>
        <v>19</v>
      </c>
      <c r="S37" s="88">
        <f>VLOOKUP(H37,SEMANAS!$B$1:$C$301,2,0)</f>
        <v>20</v>
      </c>
      <c r="T37" s="90">
        <f>VLOOKUP(B37,'MT-MO'!$A$3:$C$31,2,0)</f>
        <v>0.62478082992402106</v>
      </c>
      <c r="U37" s="90">
        <f>VLOOKUP(B37,'MT-MO'!$A$3:$C$31,3,0)</f>
        <v>0.37521917007597894</v>
      </c>
      <c r="V37" s="92">
        <f t="shared" si="2"/>
        <v>1973.4037929480482</v>
      </c>
      <c r="W37" s="92">
        <f t="shared" si="3"/>
        <v>1185.1498924907828</v>
      </c>
      <c r="X37" s="80">
        <f t="shared" si="4"/>
        <v>44636</v>
      </c>
      <c r="Y37" s="80">
        <f t="shared" si="5"/>
        <v>44670</v>
      </c>
      <c r="Z37" s="95" t="s">
        <v>75</v>
      </c>
      <c r="AA37" s="96" t="s">
        <v>345</v>
      </c>
      <c r="AB37" s="96" t="s">
        <v>313</v>
      </c>
      <c r="AC37" s="96" t="s">
        <v>295</v>
      </c>
      <c r="AD37" s="80"/>
      <c r="AE37" s="89">
        <f t="shared" si="12"/>
        <v>0</v>
      </c>
      <c r="AF37" s="145" t="str">
        <f>IFERROR(VLOOKUP(K37,SEMANAS!$B$1:$C$301,2,0),"")</f>
        <v/>
      </c>
      <c r="AG37" s="102">
        <f t="shared" si="13"/>
        <v>0</v>
      </c>
      <c r="AH37" s="100">
        <f>IFERROR(VLOOKUP(L37,SEMANAS!$B$1:$C$301,2,0),"EXE")</f>
        <v>20</v>
      </c>
      <c r="AI37" s="100">
        <f>IFERROR(VLOOKUP(M37,SEMANAS!$B$1:$C$301,2,0),"EXE")</f>
        <v>20</v>
      </c>
      <c r="AJ37" s="101">
        <f>IF(AI37="EXE",0,Q37)</f>
        <v>3158.5536854388311</v>
      </c>
    </row>
    <row r="38" spans="1:36">
      <c r="A38" t="s">
        <v>82</v>
      </c>
      <c r="B38" t="s">
        <v>43</v>
      </c>
      <c r="D38" t="s">
        <v>31</v>
      </c>
      <c r="E38" t="s">
        <v>16</v>
      </c>
      <c r="F38" s="97" t="str">
        <f t="shared" si="0"/>
        <v>ImpermeabilizaçãoPAV2</v>
      </c>
      <c r="G38" s="80">
        <v>44658</v>
      </c>
      <c r="H38" s="80">
        <v>44665</v>
      </c>
      <c r="I38" s="105"/>
      <c r="J38" s="81"/>
      <c r="K38" s="81"/>
      <c r="L38" s="139">
        <f>IF(J38&gt;0,"executado",VLOOKUP(F38,REPLAN!$A$6:$C$127,2,0))</f>
        <v>44664</v>
      </c>
      <c r="M38" s="139">
        <f>IF(J38&gt;0,"executado",VLOOKUP(F38,REPLAN!$A$6:$C$127,3,0))</f>
        <v>44671</v>
      </c>
      <c r="N38" s="88">
        <v>6.08</v>
      </c>
      <c r="O38" s="88" t="s">
        <v>195</v>
      </c>
      <c r="P38" s="89">
        <f>VLOOKUP(B38,'CUSTO ATIVIDADE'!$A$1:$B$30,2,0)</f>
        <v>39.299999999999997</v>
      </c>
      <c r="Q38" s="91">
        <f t="shared" si="11"/>
        <v>238.94399999999999</v>
      </c>
      <c r="R38" s="88">
        <f>VLOOKUP(G38,SEMANAS!$B$1:$C$301,2,0)</f>
        <v>20</v>
      </c>
      <c r="S38" s="88">
        <f>VLOOKUP(H38,SEMANAS!$B$1:$C$301,2,0)</f>
        <v>21</v>
      </c>
      <c r="T38" s="90">
        <f>VLOOKUP(B38,'MT-MO'!$A$3:$C$31,2,0)</f>
        <v>0.45815899581589958</v>
      </c>
      <c r="U38" s="90">
        <f>VLOOKUP(B38,'MT-MO'!$A$3:$C$31,3,0)</f>
        <v>0.54184100418410042</v>
      </c>
      <c r="V38" s="92">
        <f t="shared" si="2"/>
        <v>109.47434309623431</v>
      </c>
      <c r="W38" s="92">
        <f t="shared" si="3"/>
        <v>129.4696569037657</v>
      </c>
      <c r="X38" s="80">
        <f t="shared" si="4"/>
        <v>44643</v>
      </c>
      <c r="Y38" s="80">
        <f t="shared" si="5"/>
        <v>44680</v>
      </c>
      <c r="Z38" s="95" t="s">
        <v>75</v>
      </c>
      <c r="AA38" s="96" t="s">
        <v>346</v>
      </c>
      <c r="AB38" s="96" t="s">
        <v>315</v>
      </c>
      <c r="AC38" s="96" t="s">
        <v>295</v>
      </c>
      <c r="AD38" s="80"/>
      <c r="AE38" s="89">
        <f t="shared" si="12"/>
        <v>0</v>
      </c>
      <c r="AF38" s="145" t="str">
        <f>IFERROR(VLOOKUP(K38,SEMANAS!$B$1:$C$301,2,0),"")</f>
        <v/>
      </c>
      <c r="AG38" s="102">
        <f t="shared" si="13"/>
        <v>0</v>
      </c>
      <c r="AH38" s="100">
        <f>IFERROR(VLOOKUP(L38,SEMANAS!$B$1:$C$301,2,0),"EXE")</f>
        <v>21</v>
      </c>
      <c r="AI38" s="100">
        <f>IFERROR(VLOOKUP(M38,SEMANAS!$B$1:$C$301,2,0),"EXE")</f>
        <v>22</v>
      </c>
      <c r="AJ38" s="101">
        <f>IF(AI38="EXE",0,Q38)</f>
        <v>238.94399999999999</v>
      </c>
    </row>
    <row r="39" spans="1:36">
      <c r="A39" t="s">
        <v>83</v>
      </c>
      <c r="B39" t="s">
        <v>45</v>
      </c>
      <c r="D39" t="s">
        <v>31</v>
      </c>
      <c r="E39" t="s">
        <v>16</v>
      </c>
      <c r="F39" s="97" t="str">
        <f t="shared" si="0"/>
        <v>CerâmicaPAV2</v>
      </c>
      <c r="G39" s="80">
        <v>44672</v>
      </c>
      <c r="H39" s="80">
        <v>44679</v>
      </c>
      <c r="I39" s="105"/>
      <c r="J39" s="81"/>
      <c r="K39" s="81"/>
      <c r="L39" s="139">
        <f>IF(J39&gt;0,"executado",VLOOKUP(F39,REPLAN!$A$6:$C$127,2,0))</f>
        <v>44678</v>
      </c>
      <c r="M39" s="139">
        <f>IF(J39&gt;0,"executado",VLOOKUP(F39,REPLAN!$A$6:$C$127,3,0))</f>
        <v>44685</v>
      </c>
      <c r="N39" s="88">
        <v>86.26</v>
      </c>
      <c r="O39" s="88" t="s">
        <v>195</v>
      </c>
      <c r="P39" s="89">
        <f>VLOOKUP(B39,'CUSTO ATIVIDADE'!$A$1:$B$30,2,0)</f>
        <v>236.90944856477213</v>
      </c>
      <c r="Q39" s="91">
        <f t="shared" si="11"/>
        <v>20435.809033197245</v>
      </c>
      <c r="R39" s="88">
        <f>VLOOKUP(G39,SEMANAS!$B$1:$C$301,2,0)</f>
        <v>22</v>
      </c>
      <c r="S39" s="88">
        <f>VLOOKUP(H39,SEMANAS!$B$1:$C$301,2,0)</f>
        <v>23</v>
      </c>
      <c r="T39" s="90">
        <f>VLOOKUP(B39,'MT-MO'!$A$3:$C$31,2,0)</f>
        <v>0.57761004134961225</v>
      </c>
      <c r="U39" s="90">
        <f>VLOOKUP(B39,'MT-MO'!$A$3:$C$31,3,0)</f>
        <v>0.42238995865038781</v>
      </c>
      <c r="V39" s="92">
        <f t="shared" si="2"/>
        <v>11803.928500677841</v>
      </c>
      <c r="W39" s="92">
        <f t="shared" si="3"/>
        <v>8631.8805325194062</v>
      </c>
      <c r="X39" s="80">
        <f t="shared" si="4"/>
        <v>44657</v>
      </c>
      <c r="Y39" s="80">
        <f t="shared" si="5"/>
        <v>44694</v>
      </c>
      <c r="Z39" s="95" t="s">
        <v>75</v>
      </c>
      <c r="AA39" s="96" t="s">
        <v>347</v>
      </c>
      <c r="AB39" s="96" t="s">
        <v>317</v>
      </c>
      <c r="AC39" s="96" t="s">
        <v>295</v>
      </c>
      <c r="AD39" s="80"/>
      <c r="AE39" s="89">
        <f t="shared" si="12"/>
        <v>0</v>
      </c>
      <c r="AF39" s="145" t="str">
        <f>IFERROR(VLOOKUP(K39,SEMANAS!$B$1:$C$301,2,0),"")</f>
        <v/>
      </c>
      <c r="AG39" s="102">
        <f t="shared" si="13"/>
        <v>0</v>
      </c>
      <c r="AH39" s="100">
        <f>IFERROR(VLOOKUP(L39,SEMANAS!$B$1:$C$301,2,0),"EXE")</f>
        <v>23</v>
      </c>
      <c r="AI39" s="100">
        <f>IFERROR(VLOOKUP(M39,SEMANAS!$B$1:$C$301,2,0),"EXE")</f>
        <v>24</v>
      </c>
      <c r="AJ39" s="101">
        <f>IF(AI39="EXE",0,Q39)</f>
        <v>20435.809033197245</v>
      </c>
    </row>
    <row r="40" spans="1:36">
      <c r="A40" t="s">
        <v>84</v>
      </c>
      <c r="B40" t="s">
        <v>47</v>
      </c>
      <c r="D40" t="s">
        <v>31</v>
      </c>
      <c r="E40" t="s">
        <v>16</v>
      </c>
      <c r="F40" s="97" t="str">
        <f t="shared" si="0"/>
        <v>Gesso LisoPAV2</v>
      </c>
      <c r="G40" s="80">
        <v>44686</v>
      </c>
      <c r="H40" s="80">
        <v>44693</v>
      </c>
      <c r="I40" s="105"/>
      <c r="J40" s="81"/>
      <c r="K40" s="81"/>
      <c r="L40" s="139">
        <f>IF(J40&gt;0,"executado",VLOOKUP(F40,REPLAN!$A$6:$C$127,2,0))</f>
        <v>44692</v>
      </c>
      <c r="M40" s="139">
        <f>IF(J40&gt;0,"executado",VLOOKUP(F40,REPLAN!$A$6:$C$127,3,0))</f>
        <v>44699</v>
      </c>
      <c r="N40" s="88">
        <v>447.45</v>
      </c>
      <c r="O40" s="88" t="s">
        <v>195</v>
      </c>
      <c r="P40" s="89">
        <f>VLOOKUP(B40,'CUSTO ATIVIDADE'!$A$1:$B$30,2,0)</f>
        <v>15.222400000000006</v>
      </c>
      <c r="Q40" s="91">
        <f t="shared" si="11"/>
        <v>6811.262880000002</v>
      </c>
      <c r="R40" s="88">
        <f>VLOOKUP(G40,SEMANAS!$B$1:$C$301,2,0)</f>
        <v>24</v>
      </c>
      <c r="S40" s="88">
        <f>VLOOKUP(H40,SEMANAS!$B$1:$C$301,2,0)</f>
        <v>25</v>
      </c>
      <c r="T40" s="90">
        <f>VLOOKUP(B40,'MT-MO'!$A$3:$C$31,2,0)</f>
        <v>0.45986419526518629</v>
      </c>
      <c r="U40" s="90">
        <f>VLOOKUP(B40,'MT-MO'!$A$3:$C$31,3,0)</f>
        <v>0.54013580473481371</v>
      </c>
      <c r="V40" s="92">
        <f t="shared" si="2"/>
        <v>3132.2559230508359</v>
      </c>
      <c r="W40" s="92">
        <f t="shared" si="3"/>
        <v>3679.0069569491661</v>
      </c>
      <c r="X40" s="80">
        <f t="shared" si="4"/>
        <v>44671</v>
      </c>
      <c r="Y40" s="80">
        <f t="shared" si="5"/>
        <v>44708</v>
      </c>
      <c r="Z40" s="95" t="s">
        <v>75</v>
      </c>
      <c r="AA40" s="96" t="s">
        <v>348</v>
      </c>
      <c r="AB40" s="96" t="s">
        <v>319</v>
      </c>
      <c r="AC40" s="96" t="s">
        <v>295</v>
      </c>
      <c r="AD40" s="80"/>
      <c r="AE40" s="89">
        <f t="shared" si="12"/>
        <v>0</v>
      </c>
      <c r="AF40" s="145" t="str">
        <f>IFERROR(VLOOKUP(K40,SEMANAS!$B$1:$C$301,2,0),"")</f>
        <v/>
      </c>
      <c r="AG40" s="102">
        <f t="shared" si="13"/>
        <v>0</v>
      </c>
      <c r="AH40" s="100">
        <f>IFERROR(VLOOKUP(L40,SEMANAS!$B$1:$C$301,2,0),"EXE")</f>
        <v>25</v>
      </c>
      <c r="AI40" s="100">
        <f>IFERROR(VLOOKUP(M40,SEMANAS!$B$1:$C$301,2,0),"EXE")</f>
        <v>26</v>
      </c>
      <c r="AJ40" s="101">
        <f>IF(AI40="EXE",0,Q40)</f>
        <v>6811.262880000002</v>
      </c>
    </row>
    <row r="41" spans="1:36">
      <c r="A41" t="s">
        <v>85</v>
      </c>
      <c r="B41" t="s">
        <v>49</v>
      </c>
      <c r="D41" t="s">
        <v>31</v>
      </c>
      <c r="E41" t="s">
        <v>16</v>
      </c>
      <c r="F41" s="97" t="str">
        <f t="shared" si="0"/>
        <v>Esquadria PAV2</v>
      </c>
      <c r="G41" s="80">
        <v>44707</v>
      </c>
      <c r="H41" s="80">
        <v>44714</v>
      </c>
      <c r="I41" s="105"/>
      <c r="J41" s="81"/>
      <c r="K41" s="81"/>
      <c r="L41" s="139">
        <f>IF(J41&gt;0,"executado",VLOOKUP(F41,REPLAN!$A$6:$C$127,2,0))</f>
        <v>44713</v>
      </c>
      <c r="M41" s="139">
        <f>IF(J41&gt;0,"executado",VLOOKUP(F41,REPLAN!$A$6:$C$127,3,0))</f>
        <v>44720</v>
      </c>
      <c r="N41" s="88">
        <v>21</v>
      </c>
      <c r="O41" s="88" t="s">
        <v>199</v>
      </c>
      <c r="P41" s="89">
        <f>VLOOKUP(B41,'CUSTO ATIVIDADE'!$A$1:$B$30,2,0)</f>
        <v>1261.9047619047619</v>
      </c>
      <c r="Q41" s="91">
        <f t="shared" si="11"/>
        <v>26500</v>
      </c>
      <c r="R41" s="88">
        <f>VLOOKUP(G41,SEMANAS!$B$1:$C$301,2,0)</f>
        <v>27</v>
      </c>
      <c r="S41" s="88">
        <f>VLOOKUP(H41,SEMANAS!$B$1:$C$301,2,0)</f>
        <v>28</v>
      </c>
      <c r="T41" s="90">
        <f>VLOOKUP(B41,'MT-MO'!$A$3:$C$31,2,0)</f>
        <v>0.19811320754716982</v>
      </c>
      <c r="U41" s="90">
        <f>VLOOKUP(B41,'MT-MO'!$A$3:$C$31,3,0)</f>
        <v>0.80188679245283023</v>
      </c>
      <c r="V41" s="92">
        <f t="shared" si="2"/>
        <v>5250</v>
      </c>
      <c r="W41" s="92">
        <f t="shared" si="3"/>
        <v>21250</v>
      </c>
      <c r="X41" s="80">
        <f t="shared" si="4"/>
        <v>44692</v>
      </c>
      <c r="Y41" s="80">
        <f t="shared" si="5"/>
        <v>44729</v>
      </c>
      <c r="Z41" s="95" t="s">
        <v>75</v>
      </c>
      <c r="AA41" s="96" t="s">
        <v>349</v>
      </c>
      <c r="AB41" s="96" t="s">
        <v>321</v>
      </c>
      <c r="AC41" s="96" t="s">
        <v>295</v>
      </c>
      <c r="AD41" s="80"/>
      <c r="AE41" s="89">
        <f t="shared" si="12"/>
        <v>0</v>
      </c>
      <c r="AF41" s="145" t="str">
        <f>IFERROR(VLOOKUP(K41,SEMANAS!$B$1:$C$301,2,0),"")</f>
        <v/>
      </c>
      <c r="AG41" s="102">
        <f t="shared" si="13"/>
        <v>0</v>
      </c>
      <c r="AH41" s="100">
        <f>IFERROR(VLOOKUP(L41,SEMANAS!$B$1:$C$301,2,0),"EXE")</f>
        <v>28</v>
      </c>
      <c r="AI41" s="100">
        <f>IFERROR(VLOOKUP(M41,SEMANAS!$B$1:$C$301,2,0),"EXE")</f>
        <v>29</v>
      </c>
      <c r="AJ41" s="101">
        <f>IF(AI41="EXE",0,Q41)</f>
        <v>26500</v>
      </c>
    </row>
    <row r="42" spans="1:36">
      <c r="A42" t="s">
        <v>86</v>
      </c>
      <c r="B42" t="s">
        <v>51</v>
      </c>
      <c r="D42" t="s">
        <v>31</v>
      </c>
      <c r="E42" t="s">
        <v>16</v>
      </c>
      <c r="F42" s="97" t="str">
        <f t="shared" si="0"/>
        <v>FiaçãoPAV2</v>
      </c>
      <c r="G42" s="80">
        <v>44714</v>
      </c>
      <c r="H42" s="80">
        <v>44721</v>
      </c>
      <c r="I42" s="105"/>
      <c r="J42" s="81"/>
      <c r="K42" s="81"/>
      <c r="L42" s="139">
        <f>IF(J42&gt;0,"executado",VLOOKUP(F42,REPLAN!$A$6:$C$127,2,0))</f>
        <v>44720</v>
      </c>
      <c r="M42" s="139">
        <f>IF(J42&gt;0,"executado",VLOOKUP(F42,REPLAN!$A$6:$C$127,3,0))</f>
        <v>44727</v>
      </c>
      <c r="N42" s="88">
        <v>4</v>
      </c>
      <c r="O42" s="88" t="s">
        <v>200</v>
      </c>
      <c r="P42" s="89">
        <f>VLOOKUP(B42,'CUSTO ATIVIDADE'!$A$1:$B$30,2,0)</f>
        <v>1283.6297966501836</v>
      </c>
      <c r="Q42" s="91">
        <f t="shared" si="11"/>
        <v>5134.5191866007344</v>
      </c>
      <c r="R42" s="88">
        <f>VLOOKUP(G42,SEMANAS!$B$1:$C$301,2,0)</f>
        <v>28</v>
      </c>
      <c r="S42" s="88">
        <f>VLOOKUP(H42,SEMANAS!$B$1:$C$301,2,0)</f>
        <v>29</v>
      </c>
      <c r="T42" s="90">
        <f>VLOOKUP(B42,'MT-MO'!$A$3:$C$31,2,0)</f>
        <v>0.62323497906319991</v>
      </c>
      <c r="U42" s="90">
        <f>VLOOKUP(B42,'MT-MO'!$A$3:$C$31,3,0)</f>
        <v>0.37676502093680009</v>
      </c>
      <c r="V42" s="92">
        <f t="shared" si="2"/>
        <v>3200.011957760707</v>
      </c>
      <c r="W42" s="92">
        <f t="shared" si="3"/>
        <v>1934.5072288400274</v>
      </c>
      <c r="X42" s="80">
        <f t="shared" si="4"/>
        <v>44699</v>
      </c>
      <c r="Y42" s="80">
        <f t="shared" si="5"/>
        <v>44736</v>
      </c>
      <c r="Z42" s="95" t="s">
        <v>75</v>
      </c>
      <c r="AA42" s="96" t="s">
        <v>348</v>
      </c>
      <c r="AB42" s="96" t="s">
        <v>322</v>
      </c>
      <c r="AC42" s="96" t="s">
        <v>295</v>
      </c>
      <c r="AD42" s="80"/>
      <c r="AE42" s="89">
        <f t="shared" si="12"/>
        <v>0</v>
      </c>
      <c r="AF42" s="145" t="str">
        <f>IFERROR(VLOOKUP(K42,SEMANAS!$B$1:$C$301,2,0),"")</f>
        <v/>
      </c>
      <c r="AG42" s="102">
        <f t="shared" si="13"/>
        <v>0</v>
      </c>
      <c r="AH42" s="100">
        <f>IFERROR(VLOOKUP(L42,SEMANAS!$B$1:$C$301,2,0),"EXE")</f>
        <v>29</v>
      </c>
      <c r="AI42" s="100">
        <f>IFERROR(VLOOKUP(M42,SEMANAS!$B$1:$C$301,2,0),"EXE")</f>
        <v>30</v>
      </c>
      <c r="AJ42" s="101">
        <f>IF(AI42="EXE",0,Q42)</f>
        <v>5134.5191866007344</v>
      </c>
    </row>
    <row r="43" spans="1:36">
      <c r="A43" t="s">
        <v>87</v>
      </c>
      <c r="B43" t="s">
        <v>53</v>
      </c>
      <c r="D43" t="s">
        <v>31</v>
      </c>
      <c r="E43" t="s">
        <v>16</v>
      </c>
      <c r="F43" s="97" t="str">
        <f t="shared" si="0"/>
        <v>ForroPAV2</v>
      </c>
      <c r="G43" s="80">
        <v>44728</v>
      </c>
      <c r="H43" s="80">
        <v>44735</v>
      </c>
      <c r="I43" s="105"/>
      <c r="J43" s="81"/>
      <c r="K43" s="81"/>
      <c r="L43" s="139">
        <f>IF(J43&gt;0,"executado",VLOOKUP(F43,REPLAN!$A$6:$C$127,2,0))</f>
        <v>44734</v>
      </c>
      <c r="M43" s="139">
        <f>IF(J43&gt;0,"executado",VLOOKUP(F43,REPLAN!$A$6:$C$127,3,0))</f>
        <v>44741</v>
      </c>
      <c r="N43" s="88">
        <v>29.29</v>
      </c>
      <c r="O43" s="88" t="s">
        <v>195</v>
      </c>
      <c r="P43" s="89">
        <f>VLOOKUP(B43,'CUSTO ATIVIDADE'!$A$1:$B$30,2,0)</f>
        <v>78.445334999999986</v>
      </c>
      <c r="Q43" s="91">
        <f t="shared" si="11"/>
        <v>2297.6638621499997</v>
      </c>
      <c r="R43" s="88">
        <f>VLOOKUP(G43,SEMANAS!$B$1:$C$301,2,0)</f>
        <v>30</v>
      </c>
      <c r="S43" s="88">
        <f>VLOOKUP(H43,SEMANAS!$B$1:$C$301,2,0)</f>
        <v>31</v>
      </c>
      <c r="T43" s="90">
        <f>VLOOKUP(B43,'MT-MO'!$A$3:$C$31,2,0)</f>
        <v>0.31868131868131866</v>
      </c>
      <c r="U43" s="90">
        <f>VLOOKUP(B43,'MT-MO'!$A$3:$C$31,3,0)</f>
        <v>0.68131868131868134</v>
      </c>
      <c r="V43" s="92">
        <f t="shared" si="2"/>
        <v>732.2225494763735</v>
      </c>
      <c r="W43" s="92">
        <f t="shared" si="3"/>
        <v>1565.4413126736263</v>
      </c>
      <c r="X43" s="80">
        <f t="shared" si="4"/>
        <v>44713</v>
      </c>
      <c r="Y43" s="80">
        <f t="shared" si="5"/>
        <v>44750</v>
      </c>
      <c r="Z43" s="95" t="s">
        <v>75</v>
      </c>
      <c r="AA43" s="96" t="s">
        <v>350</v>
      </c>
      <c r="AB43" s="96" t="s">
        <v>324</v>
      </c>
      <c r="AC43" s="96" t="s">
        <v>295</v>
      </c>
      <c r="AD43" s="80"/>
      <c r="AE43" s="89">
        <f t="shared" si="12"/>
        <v>0</v>
      </c>
      <c r="AF43" s="145" t="str">
        <f>IFERROR(VLOOKUP(K43,SEMANAS!$B$1:$C$301,2,0),"")</f>
        <v/>
      </c>
      <c r="AG43" s="102">
        <f t="shared" si="13"/>
        <v>0</v>
      </c>
      <c r="AH43" s="100">
        <f>IFERROR(VLOOKUP(L43,SEMANAS!$B$1:$C$301,2,0),"EXE")</f>
        <v>31</v>
      </c>
      <c r="AI43" s="100">
        <f>IFERROR(VLOOKUP(M43,SEMANAS!$B$1:$C$301,2,0),"EXE")</f>
        <v>32</v>
      </c>
      <c r="AJ43" s="101">
        <f>IF(AI43="EXE",0,Q43)</f>
        <v>2297.6638621499997</v>
      </c>
    </row>
    <row r="44" spans="1:36">
      <c r="A44" t="s">
        <v>88</v>
      </c>
      <c r="B44" t="s">
        <v>55</v>
      </c>
      <c r="D44" t="s">
        <v>31</v>
      </c>
      <c r="E44" t="s">
        <v>41</v>
      </c>
      <c r="F44" s="97" t="str">
        <f t="shared" si="0"/>
        <v>Disjuntores e CDPAV2</v>
      </c>
      <c r="G44" s="80">
        <v>44735</v>
      </c>
      <c r="H44" s="80">
        <v>44739</v>
      </c>
      <c r="I44" s="105"/>
      <c r="J44" s="81"/>
      <c r="K44" s="81"/>
      <c r="L44" s="139">
        <f>IF(J44&gt;0,"executado",VLOOKUP(F44,REPLAN!$A$6:$C$127,2,0))</f>
        <v>44741</v>
      </c>
      <c r="M44" s="139">
        <f>IF(J44&gt;0,"executado",VLOOKUP(F44,REPLAN!$A$6:$C$127,3,0))</f>
        <v>44743</v>
      </c>
      <c r="N44" s="88">
        <v>4</v>
      </c>
      <c r="O44" s="88" t="s">
        <v>200</v>
      </c>
      <c r="P44" s="89">
        <f>VLOOKUP(B44,'CUSTO ATIVIDADE'!$A$1:$B$30,2,0)</f>
        <v>350</v>
      </c>
      <c r="Q44" s="91">
        <f t="shared" si="11"/>
        <v>1400</v>
      </c>
      <c r="R44" s="88">
        <f>VLOOKUP(G44,SEMANAS!$B$1:$C$301,2,0)</f>
        <v>31</v>
      </c>
      <c r="S44" s="88">
        <f>VLOOKUP(H44,SEMANAS!$B$1:$C$301,2,0)</f>
        <v>32</v>
      </c>
      <c r="T44" s="90">
        <f>VLOOKUP(B44,'MT-MO'!$A$3:$C$31,2,0)</f>
        <v>1</v>
      </c>
      <c r="U44" s="90">
        <f>VLOOKUP(B44,'MT-MO'!$A$3:$C$31,3,0)</f>
        <v>0</v>
      </c>
      <c r="V44" s="92">
        <f t="shared" si="2"/>
        <v>1400</v>
      </c>
      <c r="W44" s="92">
        <f t="shared" si="3"/>
        <v>0</v>
      </c>
      <c r="X44" s="80">
        <f t="shared" si="4"/>
        <v>44720</v>
      </c>
      <c r="Y44" s="80">
        <f t="shared" si="5"/>
        <v>44754</v>
      </c>
      <c r="Z44" s="95" t="s">
        <v>75</v>
      </c>
      <c r="AA44" s="96" t="s">
        <v>351</v>
      </c>
      <c r="AB44" s="96" t="s">
        <v>326</v>
      </c>
      <c r="AC44" s="96" t="s">
        <v>295</v>
      </c>
      <c r="AD44" s="80"/>
      <c r="AE44" s="89">
        <f t="shared" si="12"/>
        <v>0</v>
      </c>
      <c r="AF44" s="145" t="str">
        <f>IFERROR(VLOOKUP(K44,SEMANAS!$B$1:$C$301,2,0),"")</f>
        <v/>
      </c>
      <c r="AG44" s="102">
        <f t="shared" si="13"/>
        <v>0</v>
      </c>
      <c r="AH44" s="100">
        <f>IFERROR(VLOOKUP(L44,SEMANAS!$B$1:$C$301,2,0),"EXE")</f>
        <v>32</v>
      </c>
      <c r="AI44" s="100">
        <f>IFERROR(VLOOKUP(M44,SEMANAS!$B$1:$C$301,2,0),"EXE")</f>
        <v>32</v>
      </c>
      <c r="AJ44" s="101">
        <f>IF(AI44="EXE",0,Q44)</f>
        <v>1400</v>
      </c>
    </row>
    <row r="45" spans="1:36">
      <c r="A45" t="s">
        <v>89</v>
      </c>
      <c r="B45" t="s">
        <v>57</v>
      </c>
      <c r="C45" t="s">
        <v>34</v>
      </c>
      <c r="D45" t="s">
        <v>31</v>
      </c>
      <c r="E45" t="s">
        <v>16</v>
      </c>
      <c r="F45" s="97" t="str">
        <f t="shared" si="0"/>
        <v>Rev. da CirculaçãoPAV2</v>
      </c>
      <c r="G45" s="80">
        <v>44735</v>
      </c>
      <c r="H45" s="80">
        <v>44742</v>
      </c>
      <c r="I45" s="105"/>
      <c r="J45" s="81"/>
      <c r="K45" s="81"/>
      <c r="L45" s="139">
        <f>IF(J45&gt;0,"executado",VLOOKUP(F45,REPLAN!$A$6:$C$127,2,0))</f>
        <v>44741</v>
      </c>
      <c r="M45" s="139">
        <f>IF(J45&gt;0,"executado",VLOOKUP(F45,REPLAN!$A$6:$C$127,3,0))</f>
        <v>44748</v>
      </c>
      <c r="N45" s="88">
        <v>22.5</v>
      </c>
      <c r="O45" s="88" t="s">
        <v>195</v>
      </c>
      <c r="P45" s="89">
        <f>VLOOKUP(B45,'CUSTO ATIVIDADE'!$A$1:$B$30,2,0)</f>
        <v>160.77478755454416</v>
      </c>
      <c r="Q45" s="91">
        <f t="shared" si="11"/>
        <v>3617.4327199772438</v>
      </c>
      <c r="R45" s="88">
        <f>VLOOKUP(G45,SEMANAS!$B$1:$C$301,2,0)</f>
        <v>31</v>
      </c>
      <c r="S45" s="88">
        <f>VLOOKUP(H45,SEMANAS!$B$1:$C$301,2,0)</f>
        <v>32</v>
      </c>
      <c r="T45" s="90">
        <f>VLOOKUP(B45,'MT-MO'!$A$3:$C$31,2,0)</f>
        <v>0.28742225293711127</v>
      </c>
      <c r="U45" s="90">
        <f>VLOOKUP(B45,'MT-MO'!$A$3:$C$31,3,0)</f>
        <v>0.71257774706288879</v>
      </c>
      <c r="V45" s="92">
        <f t="shared" si="2"/>
        <v>1039.7306622242818</v>
      </c>
      <c r="W45" s="92">
        <f t="shared" si="3"/>
        <v>2577.7020577529624</v>
      </c>
      <c r="X45" s="80">
        <f t="shared" si="4"/>
        <v>44720</v>
      </c>
      <c r="Y45" s="80">
        <f t="shared" si="5"/>
        <v>44757</v>
      </c>
      <c r="Z45" s="95" t="s">
        <v>75</v>
      </c>
      <c r="AA45" s="96" t="s">
        <v>352</v>
      </c>
      <c r="AB45" s="96" t="s">
        <v>328</v>
      </c>
      <c r="AC45" s="96" t="s">
        <v>295</v>
      </c>
      <c r="AD45" s="80"/>
      <c r="AE45" s="89">
        <f t="shared" si="12"/>
        <v>0</v>
      </c>
      <c r="AF45" s="145" t="str">
        <f>IFERROR(VLOOKUP(K45,SEMANAS!$B$1:$C$301,2,0),"")</f>
        <v/>
      </c>
      <c r="AG45" s="102">
        <f t="shared" si="13"/>
        <v>0</v>
      </c>
      <c r="AH45" s="100">
        <f>IFERROR(VLOOKUP(L45,SEMANAS!$B$1:$C$301,2,0),"EXE")</f>
        <v>32</v>
      </c>
      <c r="AI45" s="100">
        <f>IFERROR(VLOOKUP(M45,SEMANAS!$B$1:$C$301,2,0),"EXE")</f>
        <v>33</v>
      </c>
      <c r="AJ45" s="101">
        <f>IF(AI45="EXE",0,Q45)</f>
        <v>3617.4327199772438</v>
      </c>
    </row>
    <row r="46" spans="1:36">
      <c r="A46" t="s">
        <v>90</v>
      </c>
      <c r="B46" t="s">
        <v>59</v>
      </c>
      <c r="D46" t="s">
        <v>31</v>
      </c>
      <c r="E46" t="s">
        <v>16</v>
      </c>
      <c r="F46" s="97" t="str">
        <f t="shared" si="0"/>
        <v>Pintura Interna - 1ªdmãoPAV2</v>
      </c>
      <c r="G46" s="80">
        <v>44742</v>
      </c>
      <c r="H46" s="80">
        <v>44749</v>
      </c>
      <c r="I46" s="105"/>
      <c r="J46" s="81"/>
      <c r="K46" s="81"/>
      <c r="L46" s="139">
        <f>IF(J46&gt;0,"executado",VLOOKUP(F46,REPLAN!$A$6:$C$127,2,0))</f>
        <v>44748</v>
      </c>
      <c r="M46" s="139">
        <f>IF(J46&gt;0,"executado",VLOOKUP(F46,REPLAN!$A$6:$C$127,3,0))</f>
        <v>44755</v>
      </c>
      <c r="N46" s="88">
        <v>476.74</v>
      </c>
      <c r="O46" s="88" t="s">
        <v>195</v>
      </c>
      <c r="P46" s="89">
        <f>VLOOKUP(B46,'CUSTO ATIVIDADE'!$A$1:$B$30,2,0)</f>
        <v>31.043507801912533</v>
      </c>
      <c r="Q46" s="91">
        <f t="shared" si="11"/>
        <v>14799.681909483781</v>
      </c>
      <c r="R46" s="88">
        <f>VLOOKUP(G46,SEMANAS!$B$1:$C$301,2,0)</f>
        <v>32</v>
      </c>
      <c r="S46" s="88">
        <f>VLOOKUP(H46,SEMANAS!$B$1:$C$301,2,0)</f>
        <v>33</v>
      </c>
      <c r="T46" s="90">
        <f>VLOOKUP(B46,'MT-MO'!$A$3:$C$31,2,0)</f>
        <v>0.52623399439170238</v>
      </c>
      <c r="U46" s="90">
        <f>VLOOKUP(B46,'MT-MO'!$A$3:$C$31,3,0)</f>
        <v>0.47376600560829757</v>
      </c>
      <c r="V46" s="92">
        <f t="shared" si="2"/>
        <v>7788.0957269542669</v>
      </c>
      <c r="W46" s="92">
        <f t="shared" si="3"/>
        <v>7011.5861825295133</v>
      </c>
      <c r="X46" s="80">
        <f t="shared" si="4"/>
        <v>44727</v>
      </c>
      <c r="Y46" s="80">
        <f t="shared" si="5"/>
        <v>44764</v>
      </c>
      <c r="Z46" s="95" t="s">
        <v>75</v>
      </c>
      <c r="AA46" s="96" t="s">
        <v>348</v>
      </c>
      <c r="AB46" s="96" t="s">
        <v>329</v>
      </c>
      <c r="AC46" s="96" t="s">
        <v>295</v>
      </c>
      <c r="AD46" s="80"/>
      <c r="AE46" s="89">
        <f t="shared" si="12"/>
        <v>0</v>
      </c>
      <c r="AF46" s="145" t="str">
        <f>IFERROR(VLOOKUP(K46,SEMANAS!$B$1:$C$301,2,0),"")</f>
        <v/>
      </c>
      <c r="AG46" s="102">
        <f t="shared" si="13"/>
        <v>0</v>
      </c>
      <c r="AH46" s="100">
        <f>IFERROR(VLOOKUP(L46,SEMANAS!$B$1:$C$301,2,0),"EXE")</f>
        <v>33</v>
      </c>
      <c r="AI46" s="100">
        <f>IFERROR(VLOOKUP(M46,SEMANAS!$B$1:$C$301,2,0),"EXE")</f>
        <v>34</v>
      </c>
      <c r="AJ46" s="101">
        <f>IF(AI46="EXE",0,Q46)</f>
        <v>14799.681909483781</v>
      </c>
    </row>
    <row r="47" spans="1:36">
      <c r="A47" t="s">
        <v>91</v>
      </c>
      <c r="B47" t="s">
        <v>61</v>
      </c>
      <c r="C47" t="s">
        <v>34</v>
      </c>
      <c r="D47" t="s">
        <v>31</v>
      </c>
      <c r="E47" t="s">
        <v>41</v>
      </c>
      <c r="F47" s="97" t="str">
        <f t="shared" si="0"/>
        <v>LouçasPAV2</v>
      </c>
      <c r="G47" s="80">
        <v>44756</v>
      </c>
      <c r="H47" s="80">
        <v>44760</v>
      </c>
      <c r="I47" s="105"/>
      <c r="J47" s="81"/>
      <c r="K47" s="81"/>
      <c r="L47" s="139">
        <f>IF(J47&gt;0,"executado",VLOOKUP(F47,REPLAN!$A$6:$C$127,2,0))</f>
        <v>44756</v>
      </c>
      <c r="M47" s="139">
        <f>IF(J47&gt;0,"executado",VLOOKUP(F47,REPLAN!$A$6:$C$127,3,0))</f>
        <v>44760</v>
      </c>
      <c r="N47" s="88">
        <v>16</v>
      </c>
      <c r="O47" s="88" t="s">
        <v>199</v>
      </c>
      <c r="P47" s="89">
        <f>VLOOKUP(B47,'CUSTO ATIVIDADE'!$A$1:$B$30,2,0)</f>
        <v>327.25146699999999</v>
      </c>
      <c r="Q47" s="91">
        <f t="shared" si="11"/>
        <v>5236.0234719999999</v>
      </c>
      <c r="R47" s="88">
        <f>VLOOKUP(G47,SEMANAS!$B$1:$C$301,2,0)</f>
        <v>34</v>
      </c>
      <c r="S47" s="88">
        <f>VLOOKUP(H47,SEMANAS!$B$1:$C$301,2,0)</f>
        <v>35</v>
      </c>
      <c r="T47" s="90">
        <f>VLOOKUP(B47,'MT-MO'!$A$3:$C$31,2,0)</f>
        <v>0.15279568352194051</v>
      </c>
      <c r="U47" s="90">
        <f>VLOOKUP(B47,'MT-MO'!$A$3:$C$31,3,0)</f>
        <v>0.84720431647805949</v>
      </c>
      <c r="V47" s="92">
        <f t="shared" si="2"/>
        <v>800.04178534116409</v>
      </c>
      <c r="W47" s="92">
        <f t="shared" si="3"/>
        <v>4435.9816866588353</v>
      </c>
      <c r="X47" s="80">
        <f t="shared" si="4"/>
        <v>44741</v>
      </c>
      <c r="Y47" s="80">
        <f t="shared" si="5"/>
        <v>44775</v>
      </c>
      <c r="Z47" s="95" t="s">
        <v>75</v>
      </c>
      <c r="AA47" s="96" t="s">
        <v>353</v>
      </c>
      <c r="AB47" s="96" t="s">
        <v>331</v>
      </c>
      <c r="AC47" s="96" t="s">
        <v>295</v>
      </c>
      <c r="AD47" s="80"/>
      <c r="AE47" s="89">
        <f t="shared" si="12"/>
        <v>0</v>
      </c>
      <c r="AF47" s="145" t="str">
        <f>IFERROR(VLOOKUP(K47,SEMANAS!$B$1:$C$301,2,0),"")</f>
        <v/>
      </c>
      <c r="AG47" s="102">
        <f t="shared" si="13"/>
        <v>0</v>
      </c>
      <c r="AH47" s="100">
        <f>IFERROR(VLOOKUP(L47,SEMANAS!$B$1:$C$301,2,0),"EXE")</f>
        <v>34</v>
      </c>
      <c r="AI47" s="100">
        <f>IFERROR(VLOOKUP(M47,SEMANAS!$B$1:$C$301,2,0),"EXE")</f>
        <v>35</v>
      </c>
      <c r="AJ47" s="101">
        <f>IF(AI47="EXE",0,Q47)</f>
        <v>5236.0234719999999</v>
      </c>
    </row>
    <row r="48" spans="1:36">
      <c r="A48" t="s">
        <v>92</v>
      </c>
      <c r="B48" t="s">
        <v>63</v>
      </c>
      <c r="C48" t="s">
        <v>34</v>
      </c>
      <c r="D48" t="s">
        <v>31</v>
      </c>
      <c r="E48" t="s">
        <v>41</v>
      </c>
      <c r="F48" s="97" t="str">
        <f t="shared" si="0"/>
        <v>Portas de MadeiraPAV2</v>
      </c>
      <c r="G48" s="80">
        <v>44761</v>
      </c>
      <c r="H48" s="80">
        <v>44763</v>
      </c>
      <c r="I48" s="105"/>
      <c r="J48" s="81"/>
      <c r="K48" s="81"/>
      <c r="L48" s="139">
        <f>IF(J48&gt;0,"executado",VLOOKUP(F48,REPLAN!$A$6:$C$127,2,0))</f>
        <v>44761</v>
      </c>
      <c r="M48" s="139">
        <f>IF(J48&gt;0,"executado",VLOOKUP(F48,REPLAN!$A$6:$C$127,3,0))</f>
        <v>44763</v>
      </c>
      <c r="N48" s="88">
        <v>20</v>
      </c>
      <c r="O48" s="88" t="s">
        <v>199</v>
      </c>
      <c r="P48" s="89">
        <f>VLOOKUP(B48,'CUSTO ATIVIDADE'!$A$1:$B$30,2,0)</f>
        <v>520</v>
      </c>
      <c r="Q48" s="91">
        <f t="shared" si="11"/>
        <v>10400</v>
      </c>
      <c r="R48" s="88">
        <f>VLOOKUP(G48,SEMANAS!$B$1:$C$301,2,0)</f>
        <v>35</v>
      </c>
      <c r="S48" s="88">
        <f>VLOOKUP(H48,SEMANAS!$B$1:$C$301,2,0)</f>
        <v>35</v>
      </c>
      <c r="T48" s="90">
        <f>VLOOKUP(B48,'MT-MO'!$A$3:$C$31,2,0)</f>
        <v>0.15384615384615385</v>
      </c>
      <c r="U48" s="90">
        <f>VLOOKUP(B48,'MT-MO'!$A$3:$C$31,3,0)</f>
        <v>0.84615384615384615</v>
      </c>
      <c r="V48" s="92">
        <f t="shared" si="2"/>
        <v>1600</v>
      </c>
      <c r="W48" s="92">
        <f t="shared" si="3"/>
        <v>8800</v>
      </c>
      <c r="X48" s="80">
        <f t="shared" si="4"/>
        <v>44746</v>
      </c>
      <c r="Y48" s="80">
        <f t="shared" si="5"/>
        <v>44778</v>
      </c>
      <c r="Z48" s="95" t="s">
        <v>75</v>
      </c>
      <c r="AA48" s="96" t="s">
        <v>354</v>
      </c>
      <c r="AB48" s="96" t="s">
        <v>333</v>
      </c>
      <c r="AC48" s="96" t="s">
        <v>295</v>
      </c>
      <c r="AD48" s="80"/>
      <c r="AE48" s="89">
        <f t="shared" si="12"/>
        <v>0</v>
      </c>
      <c r="AF48" s="145" t="str">
        <f>IFERROR(VLOOKUP(K48,SEMANAS!$B$1:$C$301,2,0),"")</f>
        <v/>
      </c>
      <c r="AG48" s="102">
        <f t="shared" si="13"/>
        <v>0</v>
      </c>
      <c r="AH48" s="100">
        <f>IFERROR(VLOOKUP(L48,SEMANAS!$B$1:$C$301,2,0),"EXE")</f>
        <v>35</v>
      </c>
      <c r="AI48" s="100">
        <f>IFERROR(VLOOKUP(M48,SEMANAS!$B$1:$C$301,2,0),"EXE")</f>
        <v>35</v>
      </c>
      <c r="AJ48" s="101">
        <f>IF(AI48="EXE",0,Q48)</f>
        <v>10400</v>
      </c>
    </row>
    <row r="49" spans="1:36">
      <c r="A49" t="s">
        <v>93</v>
      </c>
      <c r="B49" t="s">
        <v>65</v>
      </c>
      <c r="D49" t="s">
        <v>31</v>
      </c>
      <c r="E49" t="s">
        <v>16</v>
      </c>
      <c r="F49" s="97" t="str">
        <f t="shared" si="0"/>
        <v>Piso Laminado + RodapéPAV2</v>
      </c>
      <c r="G49" s="80">
        <v>44768</v>
      </c>
      <c r="H49" s="80">
        <v>44774</v>
      </c>
      <c r="I49" s="105"/>
      <c r="J49" s="81"/>
      <c r="K49" s="81"/>
      <c r="L49" s="139">
        <f>IF(J49&gt;0,"executado",VLOOKUP(F49,REPLAN!$A$6:$C$127,2,0))</f>
        <v>44768</v>
      </c>
      <c r="M49" s="139">
        <f>IF(J49&gt;0,"executado",VLOOKUP(F49,REPLAN!$A$6:$C$127,3,0))</f>
        <v>44774</v>
      </c>
      <c r="N49" s="88">
        <v>80.88</v>
      </c>
      <c r="O49" s="88" t="s">
        <v>195</v>
      </c>
      <c r="P49" s="89">
        <f>VLOOKUP(B49,'CUSTO ATIVIDADE'!$A$1:$B$30,2,0)</f>
        <v>162.85785630043145</v>
      </c>
      <c r="Q49" s="91">
        <f t="shared" si="11"/>
        <v>13171.943417578896</v>
      </c>
      <c r="R49" s="88">
        <f>VLOOKUP(G49,SEMANAS!$B$1:$C$301,2,0)</f>
        <v>36</v>
      </c>
      <c r="S49" s="88">
        <f>VLOOKUP(H49,SEMANAS!$B$1:$C$301,2,0)</f>
        <v>37</v>
      </c>
      <c r="T49" s="90">
        <f>VLOOKUP(B49,'MT-MO'!$A$3:$C$31,2,0)</f>
        <v>0.15351618107620765</v>
      </c>
      <c r="U49" s="90">
        <f>VLOOKUP(B49,'MT-MO'!$A$3:$C$31,3,0)</f>
        <v>0.84648381892379232</v>
      </c>
      <c r="V49" s="92">
        <f t="shared" si="2"/>
        <v>2022.1064508186032</v>
      </c>
      <c r="W49" s="92">
        <f t="shared" si="3"/>
        <v>11149.836966760293</v>
      </c>
      <c r="X49" s="80">
        <f t="shared" si="4"/>
        <v>44753</v>
      </c>
      <c r="Y49" s="80">
        <f t="shared" si="5"/>
        <v>44789</v>
      </c>
      <c r="Z49" s="95" t="s">
        <v>75</v>
      </c>
      <c r="AA49" s="96" t="s">
        <v>355</v>
      </c>
      <c r="AB49" s="96" t="s">
        <v>335</v>
      </c>
      <c r="AC49" s="96" t="s">
        <v>295</v>
      </c>
      <c r="AD49" s="80"/>
      <c r="AE49" s="89">
        <f t="shared" si="12"/>
        <v>0</v>
      </c>
      <c r="AF49" s="145" t="str">
        <f>IFERROR(VLOOKUP(K49,SEMANAS!$B$1:$C$301,2,0),"")</f>
        <v/>
      </c>
      <c r="AG49" s="102">
        <f t="shared" si="13"/>
        <v>0</v>
      </c>
      <c r="AH49" s="100">
        <f>IFERROR(VLOOKUP(L49,SEMANAS!$B$1:$C$301,2,0),"EXE")</f>
        <v>36</v>
      </c>
      <c r="AI49" s="100">
        <f>IFERROR(VLOOKUP(M49,SEMANAS!$B$1:$C$301,2,0),"EXE")</f>
        <v>37</v>
      </c>
      <c r="AJ49" s="101">
        <f>IF(AI49="EXE",0,Q49)</f>
        <v>13171.943417578896</v>
      </c>
    </row>
    <row r="50" spans="1:36">
      <c r="A50" t="s">
        <v>94</v>
      </c>
      <c r="B50" t="s">
        <v>67</v>
      </c>
      <c r="D50" t="s">
        <v>31</v>
      </c>
      <c r="E50" t="s">
        <v>41</v>
      </c>
      <c r="F50" s="97" t="str">
        <f t="shared" si="0"/>
        <v>MetaisPAV2</v>
      </c>
      <c r="G50" s="80">
        <v>44782</v>
      </c>
      <c r="H50" s="80">
        <v>44784</v>
      </c>
      <c r="I50" s="105"/>
      <c r="J50" s="81"/>
      <c r="K50" s="81"/>
      <c r="L50" s="139">
        <f>IF(J50&gt;0,"executado",VLOOKUP(F50,REPLAN!$A$6:$C$127,2,0))</f>
        <v>44782</v>
      </c>
      <c r="M50" s="139">
        <f>IF(J50&gt;0,"executado",VLOOKUP(F50,REPLAN!$A$6:$C$127,3,0))</f>
        <v>44784</v>
      </c>
      <c r="N50" s="88">
        <v>12</v>
      </c>
      <c r="O50" s="88" t="s">
        <v>199</v>
      </c>
      <c r="P50" s="89">
        <f>VLOOKUP(B50,'CUSTO ATIVIDADE'!$A$1:$B$30,2,0)</f>
        <v>111.67</v>
      </c>
      <c r="Q50" s="91">
        <f t="shared" si="11"/>
        <v>1340.04</v>
      </c>
      <c r="R50" s="88">
        <f>VLOOKUP(G50,SEMANAS!$B$1:$C$301,2,0)</f>
        <v>38</v>
      </c>
      <c r="S50" s="88">
        <f>VLOOKUP(H50,SEMANAS!$B$1:$C$301,2,0)</f>
        <v>38</v>
      </c>
      <c r="T50" s="90">
        <f>VLOOKUP(B50,'MT-MO'!$A$3:$C$31,2,0)</f>
        <v>0.44776119402985076</v>
      </c>
      <c r="U50" s="90">
        <f>VLOOKUP(B50,'MT-MO'!$A$3:$C$31,3,0)</f>
        <v>0.55223880597014929</v>
      </c>
      <c r="V50" s="92">
        <f t="shared" si="2"/>
        <v>600.01791044776121</v>
      </c>
      <c r="W50" s="92">
        <f t="shared" si="3"/>
        <v>740.02208955223887</v>
      </c>
      <c r="X50" s="80">
        <f t="shared" si="4"/>
        <v>44767</v>
      </c>
      <c r="Y50" s="80">
        <f t="shared" si="5"/>
        <v>44799</v>
      </c>
      <c r="Z50" s="95" t="s">
        <v>75</v>
      </c>
      <c r="AA50" s="96" t="s">
        <v>356</v>
      </c>
      <c r="AB50" s="96" t="s">
        <v>337</v>
      </c>
      <c r="AC50" s="96" t="s">
        <v>295</v>
      </c>
      <c r="AD50" s="80"/>
      <c r="AE50" s="89">
        <f t="shared" si="12"/>
        <v>0</v>
      </c>
      <c r="AF50" s="145" t="str">
        <f>IFERROR(VLOOKUP(K50,SEMANAS!$B$1:$C$301,2,0),"")</f>
        <v/>
      </c>
      <c r="AG50" s="102">
        <f t="shared" si="13"/>
        <v>0</v>
      </c>
      <c r="AH50" s="100">
        <f>IFERROR(VLOOKUP(L50,SEMANAS!$B$1:$C$301,2,0),"EXE")</f>
        <v>38</v>
      </c>
      <c r="AI50" s="100">
        <f>IFERROR(VLOOKUP(M50,SEMANAS!$B$1:$C$301,2,0),"EXE")</f>
        <v>38</v>
      </c>
      <c r="AJ50" s="101">
        <f>IF(AI50="EXE",0,Q50)</f>
        <v>1340.04</v>
      </c>
    </row>
    <row r="51" spans="1:36">
      <c r="A51" t="s">
        <v>95</v>
      </c>
      <c r="B51" t="s">
        <v>69</v>
      </c>
      <c r="D51" t="s">
        <v>31</v>
      </c>
      <c r="E51" t="s">
        <v>41</v>
      </c>
      <c r="F51" s="97" t="str">
        <f t="shared" si="0"/>
        <v>Acabamentos ElétricosPAV2</v>
      </c>
      <c r="G51" s="80">
        <v>44782</v>
      </c>
      <c r="H51" s="80">
        <v>44784</v>
      </c>
      <c r="I51" s="105"/>
      <c r="J51" s="81"/>
      <c r="K51" s="81"/>
      <c r="L51" s="139">
        <f>IF(J51&gt;0,"executado",VLOOKUP(F51,REPLAN!$A$6:$C$127,2,0))</f>
        <v>44782</v>
      </c>
      <c r="M51" s="139">
        <f>IF(J51&gt;0,"executado",VLOOKUP(F51,REPLAN!$A$6:$C$127,3,0))</f>
        <v>44784</v>
      </c>
      <c r="N51" s="87">
        <v>4</v>
      </c>
      <c r="O51" s="88" t="s">
        <v>200</v>
      </c>
      <c r="P51" s="89">
        <f>VLOOKUP(B51,'CUSTO ATIVIDADE'!$A$1:$B$30,2,0)</f>
        <v>513.50426281564182</v>
      </c>
      <c r="Q51" s="91">
        <f t="shared" si="11"/>
        <v>2054.0170512625673</v>
      </c>
      <c r="R51" s="88">
        <f>VLOOKUP(G51,SEMANAS!$B$1:$C$301,2,0)</f>
        <v>38</v>
      </c>
      <c r="S51" s="88">
        <f>VLOOKUP(H51,SEMANAS!$B$1:$C$301,2,0)</f>
        <v>38</v>
      </c>
      <c r="T51" s="90">
        <f>VLOOKUP(B51,'MT-MO'!$A$3:$C$32,2,0)</f>
        <v>0.45</v>
      </c>
      <c r="U51" s="90">
        <f>VLOOKUP(B51,'MT-MO'!$A$3:$C$32,3,0)</f>
        <v>0.55000000000000004</v>
      </c>
      <c r="V51" s="92">
        <f t="shared" si="2"/>
        <v>924.30767306815528</v>
      </c>
      <c r="W51" s="92">
        <f t="shared" si="3"/>
        <v>1129.709378194412</v>
      </c>
      <c r="X51" s="80">
        <f t="shared" si="4"/>
        <v>44767</v>
      </c>
      <c r="Y51" s="80">
        <f t="shared" si="5"/>
        <v>44799</v>
      </c>
      <c r="Z51" s="95" t="s">
        <v>75</v>
      </c>
      <c r="AA51" s="96" t="s">
        <v>348</v>
      </c>
      <c r="AB51" s="96" t="s">
        <v>338</v>
      </c>
      <c r="AC51" s="96" t="s">
        <v>295</v>
      </c>
      <c r="AD51" s="80"/>
      <c r="AE51" s="89">
        <f t="shared" si="12"/>
        <v>0</v>
      </c>
      <c r="AF51" s="145" t="str">
        <f>IFERROR(VLOOKUP(K51,SEMANAS!$B$1:$C$301,2,0),"")</f>
        <v/>
      </c>
      <c r="AG51" s="102">
        <f t="shared" si="13"/>
        <v>0</v>
      </c>
      <c r="AH51" s="100">
        <f>IFERROR(VLOOKUP(L51,SEMANAS!$B$1:$C$301,2,0),"EXE")</f>
        <v>38</v>
      </c>
      <c r="AI51" s="100">
        <f>IFERROR(VLOOKUP(M51,SEMANAS!$B$1:$C$301,2,0),"EXE")</f>
        <v>38</v>
      </c>
      <c r="AJ51" s="101">
        <f>IF(AI51="EXE",0,Q51)</f>
        <v>2054.0170512625673</v>
      </c>
    </row>
    <row r="52" spans="1:36">
      <c r="A52" t="s">
        <v>96</v>
      </c>
      <c r="B52" t="s">
        <v>71</v>
      </c>
      <c r="D52" t="s">
        <v>31</v>
      </c>
      <c r="E52" t="s">
        <v>16</v>
      </c>
      <c r="F52" s="97" t="str">
        <f t="shared" si="0"/>
        <v>Pintura FinalPAV2</v>
      </c>
      <c r="G52" s="80">
        <v>44789</v>
      </c>
      <c r="H52" s="80">
        <v>44795</v>
      </c>
      <c r="I52" s="105"/>
      <c r="J52" s="81"/>
      <c r="K52" s="81"/>
      <c r="L52" s="139">
        <f>IF(J52&gt;0,"executado",VLOOKUP(F52,REPLAN!$A$6:$C$127,2,0))</f>
        <v>44789</v>
      </c>
      <c r="M52" s="139">
        <f>IF(J52&gt;0,"executado",VLOOKUP(F52,REPLAN!$A$6:$C$127,3,0))</f>
        <v>44795</v>
      </c>
      <c r="N52" s="88">
        <v>614.55999999999995</v>
      </c>
      <c r="O52" s="88" t="s">
        <v>195</v>
      </c>
      <c r="P52" s="89">
        <f>VLOOKUP(B52,'CUSTO ATIVIDADE'!$A$1:$B$30,2,0)</f>
        <v>6</v>
      </c>
      <c r="Q52" s="91">
        <f t="shared" si="11"/>
        <v>3687.3599999999997</v>
      </c>
      <c r="R52" s="88">
        <f>VLOOKUP(G52,SEMANAS!$B$1:$C$301,2,0)</f>
        <v>39</v>
      </c>
      <c r="S52" s="88">
        <f>VLOOKUP(H52,SEMANAS!$B$1:$C$301,2,0)</f>
        <v>40</v>
      </c>
      <c r="T52" s="90">
        <f>VLOOKUP(B52,'MT-MO'!$A$3:$C$31,2,0)</f>
        <v>1</v>
      </c>
      <c r="U52" s="90">
        <f>VLOOKUP(B52,'MT-MO'!$A$3:$C$31,3,0)</f>
        <v>0</v>
      </c>
      <c r="V52" s="92">
        <f t="shared" si="2"/>
        <v>3687.3599999999997</v>
      </c>
      <c r="W52" s="92">
        <f t="shared" si="3"/>
        <v>0</v>
      </c>
      <c r="X52" s="80">
        <f t="shared" si="4"/>
        <v>44774</v>
      </c>
      <c r="Y52" s="80">
        <f t="shared" si="5"/>
        <v>44810</v>
      </c>
      <c r="Z52" s="95" t="s">
        <v>75</v>
      </c>
      <c r="AA52" s="96" t="s">
        <v>348</v>
      </c>
      <c r="AB52" s="96" t="s">
        <v>339</v>
      </c>
      <c r="AC52" s="96" t="s">
        <v>295</v>
      </c>
      <c r="AD52" s="80"/>
      <c r="AE52" s="89">
        <f t="shared" si="12"/>
        <v>0</v>
      </c>
      <c r="AF52" s="145" t="str">
        <f>IFERROR(VLOOKUP(K52,SEMANAS!$B$1:$C$301,2,0),"")</f>
        <v/>
      </c>
      <c r="AG52" s="102">
        <f t="shared" si="13"/>
        <v>0</v>
      </c>
      <c r="AH52" s="100">
        <f>IFERROR(VLOOKUP(L52,SEMANAS!$B$1:$C$301,2,0),"EXE")</f>
        <v>39</v>
      </c>
      <c r="AI52" s="100">
        <f>IFERROR(VLOOKUP(M52,SEMANAS!$B$1:$C$301,2,0),"EXE")</f>
        <v>40</v>
      </c>
      <c r="AJ52" s="101">
        <f>IF(AI52="EXE",0,Q52)</f>
        <v>3687.3599999999997</v>
      </c>
    </row>
    <row r="53" spans="1:36">
      <c r="A53" t="s">
        <v>97</v>
      </c>
      <c r="B53" t="s">
        <v>73</v>
      </c>
      <c r="D53" t="s">
        <v>31</v>
      </c>
      <c r="E53" t="s">
        <v>41</v>
      </c>
      <c r="F53" s="97" t="str">
        <f t="shared" si="0"/>
        <v>Complementação e LimpezaPAV2</v>
      </c>
      <c r="G53" s="80">
        <v>44796</v>
      </c>
      <c r="H53" s="80">
        <v>44798</v>
      </c>
      <c r="I53" s="105"/>
      <c r="J53" s="81"/>
      <c r="K53" s="81"/>
      <c r="L53" s="139">
        <f>IF(J53&gt;0,"executado",VLOOKUP(F53,REPLAN!$A$6:$C$127,2,0))</f>
        <v>44803</v>
      </c>
      <c r="M53" s="139">
        <f>IF(J53&gt;0,"executado",VLOOKUP(F53,REPLAN!$A$6:$C$127,3,0))</f>
        <v>44805</v>
      </c>
      <c r="N53" s="88">
        <v>0.25</v>
      </c>
      <c r="O53" s="88" t="s">
        <v>197</v>
      </c>
      <c r="P53" s="89">
        <f>VLOOKUP(B53,'CUSTO ATIVIDADE'!$A$1:$B$30,2,0)</f>
        <v>2000</v>
      </c>
      <c r="Q53" s="91">
        <f t="shared" si="11"/>
        <v>500</v>
      </c>
      <c r="R53" s="88">
        <f>VLOOKUP(G53,SEMANAS!$B$1:$C$301,2,0)</f>
        <v>40</v>
      </c>
      <c r="S53" s="88">
        <f>VLOOKUP(H53,SEMANAS!$B$1:$C$301,2,0)</f>
        <v>40</v>
      </c>
      <c r="T53" s="90">
        <f>VLOOKUP(B53,'MT-MO'!$A$3:$C$31,2,0)</f>
        <v>1</v>
      </c>
      <c r="U53" s="90">
        <f>VLOOKUP(B53,'MT-MO'!$A$3:$C$31,3,0)</f>
        <v>0</v>
      </c>
      <c r="V53" s="92">
        <f t="shared" si="2"/>
        <v>500</v>
      </c>
      <c r="W53" s="92">
        <f t="shared" si="3"/>
        <v>0</v>
      </c>
      <c r="X53" s="80">
        <f t="shared" si="4"/>
        <v>44781</v>
      </c>
      <c r="Y53" s="80">
        <f t="shared" si="5"/>
        <v>44813</v>
      </c>
      <c r="Z53" s="95" t="s">
        <v>75</v>
      </c>
      <c r="AA53" s="96" t="s">
        <v>348</v>
      </c>
      <c r="AB53" s="96" t="s">
        <v>340</v>
      </c>
      <c r="AC53" s="96" t="s">
        <v>295</v>
      </c>
      <c r="AD53" s="80"/>
      <c r="AE53" s="89">
        <f t="shared" si="12"/>
        <v>0</v>
      </c>
      <c r="AF53" s="145" t="str">
        <f>IFERROR(VLOOKUP(K53,SEMANAS!$B$1:$C$301,2,0),"")</f>
        <v/>
      </c>
      <c r="AG53" s="102">
        <f t="shared" si="13"/>
        <v>0</v>
      </c>
      <c r="AH53" s="100">
        <f>IFERROR(VLOOKUP(L53,SEMANAS!$B$1:$C$301,2,0),"EXE")</f>
        <v>41</v>
      </c>
      <c r="AI53" s="100">
        <f>IFERROR(VLOOKUP(M53,SEMANAS!$B$1:$C$301,2,0),"EXE")</f>
        <v>41</v>
      </c>
      <c r="AJ53" s="101">
        <f>IF(AI53="EXE",0,Q53)</f>
        <v>500</v>
      </c>
    </row>
    <row r="54" spans="1:36">
      <c r="A54" s="108" t="s">
        <v>98</v>
      </c>
      <c r="B54" s="108" t="s">
        <v>99</v>
      </c>
      <c r="C54" s="108"/>
      <c r="D54" s="108"/>
      <c r="E54" s="108" t="s">
        <v>100</v>
      </c>
      <c r="F54" s="108" t="str">
        <f t="shared" si="0"/>
        <v>PAV3</v>
      </c>
      <c r="G54" s="109">
        <v>44593</v>
      </c>
      <c r="H54" s="109">
        <v>44805</v>
      </c>
      <c r="I54" s="110"/>
      <c r="J54" s="111"/>
      <c r="K54" s="111"/>
      <c r="L54" s="140"/>
      <c r="M54" s="108"/>
      <c r="N54" s="111" t="s">
        <v>9</v>
      </c>
      <c r="O54" s="111"/>
      <c r="P54" s="112"/>
      <c r="Q54" s="111"/>
      <c r="R54" s="111">
        <f>VLOOKUP(G54,SEMANAS!$B$1:$C$301,2,0)</f>
        <v>11</v>
      </c>
      <c r="S54" s="111">
        <f>VLOOKUP(H54,SEMANAS!$B$1:$C$301,2,0)</f>
        <v>41</v>
      </c>
      <c r="T54" s="110"/>
      <c r="U54" s="110"/>
      <c r="V54" s="113">
        <f t="shared" si="2"/>
        <v>0</v>
      </c>
      <c r="W54" s="113">
        <f t="shared" si="3"/>
        <v>0</v>
      </c>
      <c r="X54" s="109">
        <f t="shared" si="4"/>
        <v>44578</v>
      </c>
      <c r="Y54" s="109">
        <f t="shared" si="5"/>
        <v>44820</v>
      </c>
      <c r="Z54" s="106"/>
      <c r="AA54" s="107" t="s">
        <v>9</v>
      </c>
      <c r="AB54" s="107"/>
      <c r="AC54" s="107"/>
      <c r="AD54" s="110"/>
      <c r="AE54" s="109"/>
      <c r="AF54" s="144"/>
      <c r="AG54" s="114"/>
      <c r="AH54" s="111"/>
      <c r="AI54" s="111"/>
      <c r="AJ54" s="115"/>
    </row>
    <row r="55" spans="1:36" hidden="1">
      <c r="A55" t="s">
        <v>101</v>
      </c>
      <c r="B55" t="s">
        <v>30</v>
      </c>
      <c r="D55" t="s">
        <v>31</v>
      </c>
      <c r="E55" t="s">
        <v>16</v>
      </c>
      <c r="F55" s="97" t="str">
        <f t="shared" si="0"/>
        <v>Alvenaria EstruturalPAV3</v>
      </c>
      <c r="G55" s="80">
        <v>44593</v>
      </c>
      <c r="H55" s="80">
        <v>44599</v>
      </c>
      <c r="I55" s="105">
        <v>1</v>
      </c>
      <c r="J55" s="116">
        <v>44600</v>
      </c>
      <c r="K55" s="116">
        <v>44606</v>
      </c>
      <c r="L55" s="139" t="str">
        <f>IF(J55&gt;0,"executado",VLOOKUP(F55,REPLAN!$A$6:$C$127,2,0))</f>
        <v>executado</v>
      </c>
      <c r="M55" s="139" t="str">
        <f>IF(J55&gt;0,"executado",VLOOKUP(F55,REPLAN!$A$6:$C$127,3,0))</f>
        <v>executado</v>
      </c>
      <c r="N55" s="88">
        <v>390.7</v>
      </c>
      <c r="O55" s="88" t="s">
        <v>195</v>
      </c>
      <c r="P55" s="89">
        <f>VLOOKUP(B55,'CUSTO ATIVIDADE'!$A$1:$B$30,2,0)</f>
        <v>247.89395397660905</v>
      </c>
      <c r="Q55" s="91">
        <f t="shared" ref="Q55:Q75" si="14">P55*N55</f>
        <v>96852.167818661153</v>
      </c>
      <c r="R55" s="88">
        <f>VLOOKUP(G55,SEMANAS!$B$1:$C$301,2,0)</f>
        <v>11</v>
      </c>
      <c r="S55" s="88">
        <f>VLOOKUP(H55,SEMANAS!$B$1:$C$301,2,0)</f>
        <v>12</v>
      </c>
      <c r="T55" s="90">
        <f>VLOOKUP(B55,'MT-MO'!$A$3:$C$31,2,0)</f>
        <v>0.13858702989570013</v>
      </c>
      <c r="U55" s="90">
        <f>VLOOKUP(B55,'MT-MO'!$A$3:$C$31,3,0)</f>
        <v>0.86141297010429985</v>
      </c>
      <c r="V55" s="92">
        <f t="shared" si="2"/>
        <v>13422.45427694816</v>
      </c>
      <c r="W55" s="92">
        <f t="shared" si="3"/>
        <v>83429.71354171299</v>
      </c>
      <c r="X55" s="80">
        <f t="shared" si="4"/>
        <v>44578</v>
      </c>
      <c r="Y55" s="80">
        <f t="shared" si="5"/>
        <v>44614</v>
      </c>
      <c r="Z55" s="95" t="s">
        <v>99</v>
      </c>
      <c r="AA55" s="96" t="s">
        <v>357</v>
      </c>
      <c r="AB55" s="96" t="s">
        <v>305</v>
      </c>
      <c r="AC55" s="96" t="s">
        <v>295</v>
      </c>
      <c r="AD55" s="90">
        <v>1</v>
      </c>
      <c r="AE55" s="89">
        <f t="shared" ref="AE55:AE75" si="15">AD55*Q55</f>
        <v>96852.167818661153</v>
      </c>
      <c r="AF55" s="145">
        <f>IFERROR(VLOOKUP(K55,SEMANAS!$B$1:$C$301,2,0),"")</f>
        <v>13</v>
      </c>
      <c r="AG55" s="102">
        <f t="shared" ref="AG55:AG75" si="16">Q55*I55</f>
        <v>96852.167818661153</v>
      </c>
      <c r="AH55" s="100" t="str">
        <f>IFERROR(VLOOKUP(L55,SEMANAS!$B$1:$C$301,2,0),"EXE")</f>
        <v>EXE</v>
      </c>
      <c r="AI55" s="100" t="str">
        <f>IFERROR(VLOOKUP(M55,SEMANAS!$B$1:$C$301,2,0),"EXE")</f>
        <v>EXE</v>
      </c>
      <c r="AJ55" s="101">
        <f>IF(AI55="EXE",0,Q55)</f>
        <v>0</v>
      </c>
    </row>
    <row r="56" spans="1:36" hidden="1">
      <c r="A56" t="s">
        <v>102</v>
      </c>
      <c r="B56" t="s">
        <v>33</v>
      </c>
      <c r="C56" t="s">
        <v>34</v>
      </c>
      <c r="D56" t="s">
        <v>31</v>
      </c>
      <c r="E56" t="s">
        <v>16</v>
      </c>
      <c r="F56" s="97" t="str">
        <f t="shared" si="0"/>
        <v>Estrutura Moldado in LocoPAV3</v>
      </c>
      <c r="G56" s="80">
        <v>44600</v>
      </c>
      <c r="H56" s="80">
        <v>44606</v>
      </c>
      <c r="I56" s="105">
        <v>1</v>
      </c>
      <c r="J56" s="116">
        <v>44607</v>
      </c>
      <c r="K56" s="116">
        <v>44621</v>
      </c>
      <c r="L56" s="139" t="str">
        <f>IF(J56&gt;0,"executado",VLOOKUP(F56,REPLAN!$A$6:$C$127,2,0))</f>
        <v>executado</v>
      </c>
      <c r="M56" s="139" t="str">
        <f>IF(J56&gt;0,"executado",VLOOKUP(F56,REPLAN!$A$6:$C$127,3,0))</f>
        <v>executado</v>
      </c>
      <c r="N56" s="88">
        <v>25.44</v>
      </c>
      <c r="O56" s="88" t="s">
        <v>196</v>
      </c>
      <c r="P56" s="89">
        <f>VLOOKUP(B56,'CUSTO ATIVIDADE'!$A$1:$B$30,2,0)</f>
        <v>2550.8020330415566</v>
      </c>
      <c r="Q56" s="91">
        <f t="shared" si="14"/>
        <v>64892.403720577204</v>
      </c>
      <c r="R56" s="88">
        <f>VLOOKUP(G56,SEMANAS!$B$1:$C$301,2,0)</f>
        <v>12</v>
      </c>
      <c r="S56" s="88">
        <f>VLOOKUP(H56,SEMANAS!$B$1:$C$301,2,0)</f>
        <v>13</v>
      </c>
      <c r="T56" s="90">
        <f>VLOOKUP(B56,'MT-MO'!$A$3:$C$31,2,0)</f>
        <v>0.38396280966583479</v>
      </c>
      <c r="U56" s="90">
        <f>VLOOKUP(B56,'MT-MO'!$A$3:$C$31,3,0)</f>
        <v>0.61603719033416515</v>
      </c>
      <c r="V56" s="92">
        <f t="shared" si="2"/>
        <v>24916.269658522495</v>
      </c>
      <c r="W56" s="92">
        <f t="shared" si="3"/>
        <v>39976.134062054705</v>
      </c>
      <c r="X56" s="80">
        <f t="shared" si="4"/>
        <v>44585</v>
      </c>
      <c r="Y56" s="80">
        <f t="shared" si="5"/>
        <v>44621</v>
      </c>
      <c r="Z56" s="95" t="s">
        <v>99</v>
      </c>
      <c r="AA56" s="96" t="s">
        <v>358</v>
      </c>
      <c r="AB56" s="96" t="s">
        <v>307</v>
      </c>
      <c r="AC56" s="96" t="s">
        <v>295</v>
      </c>
      <c r="AD56" s="90">
        <v>1</v>
      </c>
      <c r="AE56" s="89">
        <f t="shared" si="15"/>
        <v>64892.403720577204</v>
      </c>
      <c r="AF56" s="145">
        <f>IFERROR(VLOOKUP(K56,SEMANAS!$B$1:$C$301,2,0),"")</f>
        <v>15</v>
      </c>
      <c r="AG56" s="102">
        <f t="shared" si="16"/>
        <v>64892.403720577204</v>
      </c>
      <c r="AH56" s="100" t="str">
        <f>IFERROR(VLOOKUP(L56,SEMANAS!$B$1:$C$301,2,0),"EXE")</f>
        <v>EXE</v>
      </c>
      <c r="AI56" s="100" t="str">
        <f>IFERROR(VLOOKUP(M56,SEMANAS!$B$1:$C$301,2,0),"EXE")</f>
        <v>EXE</v>
      </c>
      <c r="AJ56" s="101">
        <f>IF(AI56="EXE",0,Q56)</f>
        <v>0</v>
      </c>
    </row>
    <row r="57" spans="1:36" hidden="1">
      <c r="A57" t="s">
        <v>103</v>
      </c>
      <c r="B57" t="s">
        <v>36</v>
      </c>
      <c r="D57" t="s">
        <v>31</v>
      </c>
      <c r="E57" t="s">
        <v>16</v>
      </c>
      <c r="F57" s="97" t="str">
        <f t="shared" si="0"/>
        <v>Instalações HidrossanitáriasPAV3</v>
      </c>
      <c r="G57" s="80">
        <v>44621</v>
      </c>
      <c r="H57" s="80">
        <v>44627</v>
      </c>
      <c r="I57" s="105">
        <v>1</v>
      </c>
      <c r="J57" s="116">
        <f>K35+1</f>
        <v>44632</v>
      </c>
      <c r="K57" s="116">
        <f>J57+4</f>
        <v>44636</v>
      </c>
      <c r="L57" s="139" t="str">
        <f>IF(J57&gt;0,"executado",VLOOKUP(F57,REPLAN!$A$6:$C$127,2,0))</f>
        <v>executado</v>
      </c>
      <c r="M57" s="139" t="str">
        <f>IF(J57&gt;0,"executado",VLOOKUP(F57,REPLAN!$A$6:$C$127,3,0))</f>
        <v>executado</v>
      </c>
      <c r="N57" s="88">
        <v>1</v>
      </c>
      <c r="O57" s="88" t="s">
        <v>198</v>
      </c>
      <c r="P57" s="89">
        <f>VLOOKUP(B57,'CUSTO ATIVIDADE'!$A$1:$B$30,2,0)</f>
        <v>13455.889210118192</v>
      </c>
      <c r="Q57" s="91">
        <f t="shared" si="14"/>
        <v>13455.889210118192</v>
      </c>
      <c r="R57" s="88">
        <f>VLOOKUP(G57,SEMANAS!$B$1:$C$301,2,0)</f>
        <v>15</v>
      </c>
      <c r="S57" s="88">
        <f>VLOOKUP(H57,SEMANAS!$B$1:$C$301,2,0)</f>
        <v>16</v>
      </c>
      <c r="T57" s="90">
        <f>VLOOKUP(B57,'MT-MO'!$A$3:$C$31,2,0)</f>
        <v>0.35672482024413354</v>
      </c>
      <c r="U57" s="90">
        <f>VLOOKUP(B57,'MT-MO'!$A$3:$C$31,3,0)</f>
        <v>0.64327517975586646</v>
      </c>
      <c r="V57" s="92">
        <f t="shared" si="2"/>
        <v>4800.0496597043884</v>
      </c>
      <c r="W57" s="92">
        <f t="shared" si="3"/>
        <v>8655.8395504138043</v>
      </c>
      <c r="X57" s="80">
        <f t="shared" si="4"/>
        <v>44606</v>
      </c>
      <c r="Y57" s="80">
        <f t="shared" si="5"/>
        <v>44642</v>
      </c>
      <c r="Z57" s="95" t="s">
        <v>99</v>
      </c>
      <c r="AA57" s="96" t="s">
        <v>359</v>
      </c>
      <c r="AB57" s="96" t="s">
        <v>309</v>
      </c>
      <c r="AC57" s="96" t="s">
        <v>295</v>
      </c>
      <c r="AD57" s="90">
        <v>1</v>
      </c>
      <c r="AE57" s="89">
        <f t="shared" si="15"/>
        <v>13455.889210118192</v>
      </c>
      <c r="AF57" s="145">
        <f>IFERROR(VLOOKUP(K57,SEMANAS!$B$1:$C$301,2,0),"")</f>
        <v>17</v>
      </c>
      <c r="AG57" s="102">
        <f t="shared" si="16"/>
        <v>13455.889210118192</v>
      </c>
      <c r="AH57" s="100" t="str">
        <f>IFERROR(VLOOKUP(L57,SEMANAS!$B$1:$C$301,2,0),"EXE")</f>
        <v>EXE</v>
      </c>
      <c r="AI57" s="100" t="str">
        <f>IFERROR(VLOOKUP(M57,SEMANAS!$B$1:$C$301,2,0),"EXE")</f>
        <v>EXE</v>
      </c>
      <c r="AJ57" s="101">
        <f>IF(AI57="EXE",0,Q57)</f>
        <v>0</v>
      </c>
    </row>
    <row r="58" spans="1:36">
      <c r="A58" t="s">
        <v>104</v>
      </c>
      <c r="B58" t="s">
        <v>38</v>
      </c>
      <c r="D58" t="s">
        <v>31</v>
      </c>
      <c r="E58" t="s">
        <v>16</v>
      </c>
      <c r="F58" s="97" t="str">
        <f t="shared" si="0"/>
        <v>Reboco InternoPAV3</v>
      </c>
      <c r="G58" s="80">
        <v>44635</v>
      </c>
      <c r="H58" s="80">
        <v>44641</v>
      </c>
      <c r="I58" s="105"/>
      <c r="J58" s="81"/>
      <c r="K58" s="81"/>
      <c r="L58" s="139">
        <f>IF(J58&gt;0,"executado",VLOOKUP(F58,REPLAN!$A$6:$C$127,2,0))</f>
        <v>44641</v>
      </c>
      <c r="M58" s="139">
        <f>IF(J58&gt;0,"executado",VLOOKUP(F58,REPLAN!$A$6:$C$127,3,0))</f>
        <v>44645</v>
      </c>
      <c r="N58" s="88">
        <v>140.59</v>
      </c>
      <c r="O58" s="88" t="s">
        <v>195</v>
      </c>
      <c r="P58" s="89">
        <f>VLOOKUP(B58,'CUSTO ATIVIDADE'!$A$1:$B$30,2,0)</f>
        <v>7</v>
      </c>
      <c r="Q58" s="91">
        <f t="shared" si="14"/>
        <v>984.13</v>
      </c>
      <c r="R58" s="88">
        <f>VLOOKUP(G58,SEMANAS!$B$1:$C$301,2,0)</f>
        <v>17</v>
      </c>
      <c r="S58" s="88">
        <f>VLOOKUP(H58,SEMANAS!$B$1:$C$301,2,0)</f>
        <v>18</v>
      </c>
      <c r="T58" s="90">
        <f>VLOOKUP(B58,'MT-MO'!$A$3:$C$31,2,0)</f>
        <v>0.26486813778256191</v>
      </c>
      <c r="U58" s="90">
        <f>VLOOKUP(B58,'MT-MO'!$A$3:$C$31,3,0)</f>
        <v>0.73513186221743809</v>
      </c>
      <c r="V58" s="92">
        <f t="shared" si="2"/>
        <v>260.66468043595268</v>
      </c>
      <c r="W58" s="92">
        <f t="shared" si="3"/>
        <v>723.46531956404738</v>
      </c>
      <c r="X58" s="80">
        <f t="shared" si="4"/>
        <v>44620</v>
      </c>
      <c r="Y58" s="80">
        <f t="shared" si="5"/>
        <v>44656</v>
      </c>
      <c r="Z58" s="95" t="s">
        <v>99</v>
      </c>
      <c r="AA58" s="96" t="s">
        <v>360</v>
      </c>
      <c r="AB58" s="96" t="s">
        <v>311</v>
      </c>
      <c r="AC58" s="96" t="s">
        <v>295</v>
      </c>
      <c r="AD58" s="90">
        <v>1</v>
      </c>
      <c r="AE58" s="89">
        <f t="shared" si="15"/>
        <v>984.13</v>
      </c>
      <c r="AF58" s="145" t="str">
        <f>IFERROR(VLOOKUP(K58,SEMANAS!$B$1:$C$301,2,0),"")</f>
        <v/>
      </c>
      <c r="AG58" s="102">
        <f t="shared" si="16"/>
        <v>0</v>
      </c>
      <c r="AH58" s="100">
        <f>IFERROR(VLOOKUP(L58,SEMANAS!$B$1:$C$301,2,0),"EXE")</f>
        <v>18</v>
      </c>
      <c r="AI58" s="100">
        <f>IFERROR(VLOOKUP(M58,SEMANAS!$B$1:$C$301,2,0),"EXE")</f>
        <v>18</v>
      </c>
      <c r="AJ58" s="101">
        <f>IF(AI58="EXE",0,Q58)</f>
        <v>984.13</v>
      </c>
    </row>
    <row r="59" spans="1:36">
      <c r="A59" t="s">
        <v>105</v>
      </c>
      <c r="B59" t="s">
        <v>40</v>
      </c>
      <c r="D59" t="s">
        <v>31</v>
      </c>
      <c r="E59" t="s">
        <v>41</v>
      </c>
      <c r="F59" s="97" t="str">
        <f t="shared" si="0"/>
        <v>Shaft PAV3</v>
      </c>
      <c r="G59" s="80">
        <v>44656</v>
      </c>
      <c r="H59" s="80">
        <v>44658</v>
      </c>
      <c r="I59" s="105"/>
      <c r="J59" s="81"/>
      <c r="K59" s="81"/>
      <c r="L59" s="139">
        <f>IF(J59&gt;0,"executado",VLOOKUP(F59,REPLAN!$A$6:$C$127,2,0))</f>
        <v>44662</v>
      </c>
      <c r="M59" s="139">
        <f>IF(J59&gt;0,"executado",VLOOKUP(F59,REPLAN!$A$6:$C$127,3,0))</f>
        <v>44664</v>
      </c>
      <c r="N59" s="88">
        <v>10.69</v>
      </c>
      <c r="O59" s="88" t="s">
        <v>195</v>
      </c>
      <c r="P59" s="89">
        <f>VLOOKUP(B59,'CUSTO ATIVIDADE'!$A$1:$B$30,2,0)</f>
        <v>295.46807160325829</v>
      </c>
      <c r="Q59" s="91">
        <f t="shared" si="14"/>
        <v>3158.5536854388311</v>
      </c>
      <c r="R59" s="88">
        <f>VLOOKUP(G59,SEMANAS!$B$1:$C$301,2,0)</f>
        <v>20</v>
      </c>
      <c r="S59" s="88">
        <f>VLOOKUP(H59,SEMANAS!$B$1:$C$301,2,0)</f>
        <v>20</v>
      </c>
      <c r="T59" s="90">
        <f>VLOOKUP(B59,'MT-MO'!$A$3:$C$31,2,0)</f>
        <v>0.62478082992402106</v>
      </c>
      <c r="U59" s="90">
        <f>VLOOKUP(B59,'MT-MO'!$A$3:$C$31,3,0)</f>
        <v>0.37521917007597894</v>
      </c>
      <c r="V59" s="92">
        <f t="shared" si="2"/>
        <v>1973.4037929480482</v>
      </c>
      <c r="W59" s="92">
        <f t="shared" si="3"/>
        <v>1185.1498924907828</v>
      </c>
      <c r="X59" s="80">
        <f t="shared" si="4"/>
        <v>44641</v>
      </c>
      <c r="Y59" s="80">
        <f t="shared" si="5"/>
        <v>44673</v>
      </c>
      <c r="Z59" s="95" t="s">
        <v>99</v>
      </c>
      <c r="AA59" s="96" t="s">
        <v>361</v>
      </c>
      <c r="AB59" s="96" t="s">
        <v>313</v>
      </c>
      <c r="AC59" s="96" t="s">
        <v>295</v>
      </c>
      <c r="AD59" s="80"/>
      <c r="AE59" s="89">
        <f t="shared" si="15"/>
        <v>0</v>
      </c>
      <c r="AF59" s="145" t="str">
        <f>IFERROR(VLOOKUP(K59,SEMANAS!$B$1:$C$301,2,0),"")</f>
        <v/>
      </c>
      <c r="AG59" s="102">
        <f t="shared" si="16"/>
        <v>0</v>
      </c>
      <c r="AH59" s="100">
        <f>IFERROR(VLOOKUP(L59,SEMANAS!$B$1:$C$301,2,0),"EXE")</f>
        <v>21</v>
      </c>
      <c r="AI59" s="100">
        <f>IFERROR(VLOOKUP(M59,SEMANAS!$B$1:$C$301,2,0),"EXE")</f>
        <v>21</v>
      </c>
      <c r="AJ59" s="101">
        <f>IF(AI59="EXE",0,Q59)</f>
        <v>3158.5536854388311</v>
      </c>
    </row>
    <row r="60" spans="1:36">
      <c r="A60" t="s">
        <v>106</v>
      </c>
      <c r="B60" t="s">
        <v>43</v>
      </c>
      <c r="D60" t="s">
        <v>31</v>
      </c>
      <c r="E60" t="s">
        <v>16</v>
      </c>
      <c r="F60" s="97" t="str">
        <f t="shared" si="0"/>
        <v>ImpermeabilizaçãoPAV3</v>
      </c>
      <c r="G60" s="80">
        <v>44665</v>
      </c>
      <c r="H60" s="80">
        <v>44672</v>
      </c>
      <c r="I60" s="105"/>
      <c r="J60" s="81"/>
      <c r="K60" s="81"/>
      <c r="L60" s="139">
        <f>IF(J60&gt;0,"executado",VLOOKUP(F60,REPLAN!$A$6:$C$127,2,0))</f>
        <v>44671</v>
      </c>
      <c r="M60" s="139">
        <f>IF(J60&gt;0,"executado",VLOOKUP(F60,REPLAN!$A$6:$C$127,3,0))</f>
        <v>44678</v>
      </c>
      <c r="N60" s="88">
        <v>6.08</v>
      </c>
      <c r="O60" s="88" t="s">
        <v>195</v>
      </c>
      <c r="P60" s="89">
        <f>VLOOKUP(B60,'CUSTO ATIVIDADE'!$A$1:$B$30,2,0)</f>
        <v>39.299999999999997</v>
      </c>
      <c r="Q60" s="91">
        <f t="shared" si="14"/>
        <v>238.94399999999999</v>
      </c>
      <c r="R60" s="88">
        <f>VLOOKUP(G60,SEMANAS!$B$1:$C$301,2,0)</f>
        <v>21</v>
      </c>
      <c r="S60" s="88">
        <f>VLOOKUP(H60,SEMANAS!$B$1:$C$301,2,0)</f>
        <v>22</v>
      </c>
      <c r="T60" s="90">
        <f>VLOOKUP(B60,'MT-MO'!$A$3:$C$31,2,0)</f>
        <v>0.45815899581589958</v>
      </c>
      <c r="U60" s="90">
        <f>VLOOKUP(B60,'MT-MO'!$A$3:$C$31,3,0)</f>
        <v>0.54184100418410042</v>
      </c>
      <c r="V60" s="92">
        <f t="shared" si="2"/>
        <v>109.47434309623431</v>
      </c>
      <c r="W60" s="92">
        <f t="shared" si="3"/>
        <v>129.4696569037657</v>
      </c>
      <c r="X60" s="80">
        <f t="shared" si="4"/>
        <v>44650</v>
      </c>
      <c r="Y60" s="80">
        <f t="shared" si="5"/>
        <v>44687</v>
      </c>
      <c r="Z60" s="95" t="s">
        <v>99</v>
      </c>
      <c r="AA60" s="96" t="s">
        <v>362</v>
      </c>
      <c r="AB60" s="96" t="s">
        <v>315</v>
      </c>
      <c r="AC60" s="96" t="s">
        <v>295</v>
      </c>
      <c r="AD60" s="80"/>
      <c r="AE60" s="89">
        <f t="shared" si="15"/>
        <v>0</v>
      </c>
      <c r="AF60" s="145" t="str">
        <f>IFERROR(VLOOKUP(K60,SEMANAS!$B$1:$C$301,2,0),"")</f>
        <v/>
      </c>
      <c r="AG60" s="102">
        <f t="shared" si="16"/>
        <v>0</v>
      </c>
      <c r="AH60" s="100">
        <f>IFERROR(VLOOKUP(L60,SEMANAS!$B$1:$C$301,2,0),"EXE")</f>
        <v>22</v>
      </c>
      <c r="AI60" s="100">
        <f>IFERROR(VLOOKUP(M60,SEMANAS!$B$1:$C$301,2,0),"EXE")</f>
        <v>23</v>
      </c>
      <c r="AJ60" s="101">
        <f>IF(AI60="EXE",0,Q60)</f>
        <v>238.94399999999999</v>
      </c>
    </row>
    <row r="61" spans="1:36">
      <c r="A61" t="s">
        <v>107</v>
      </c>
      <c r="B61" t="s">
        <v>45</v>
      </c>
      <c r="D61" t="s">
        <v>31</v>
      </c>
      <c r="E61" t="s">
        <v>16</v>
      </c>
      <c r="F61" s="97" t="str">
        <f t="shared" si="0"/>
        <v>CerâmicaPAV3</v>
      </c>
      <c r="G61" s="80">
        <v>44679</v>
      </c>
      <c r="H61" s="80">
        <v>44686</v>
      </c>
      <c r="I61" s="105"/>
      <c r="J61" s="81"/>
      <c r="K61" s="81"/>
      <c r="L61" s="139">
        <f>IF(J61&gt;0,"executado",VLOOKUP(F61,REPLAN!$A$6:$C$127,2,0))</f>
        <v>44685</v>
      </c>
      <c r="M61" s="139">
        <f>IF(J61&gt;0,"executado",VLOOKUP(F61,REPLAN!$A$6:$C$127,3,0))</f>
        <v>44692</v>
      </c>
      <c r="N61" s="88">
        <v>86.26</v>
      </c>
      <c r="O61" s="88" t="s">
        <v>195</v>
      </c>
      <c r="P61" s="89">
        <f>VLOOKUP(B61,'CUSTO ATIVIDADE'!$A$1:$B$30,2,0)</f>
        <v>236.90944856477213</v>
      </c>
      <c r="Q61" s="91">
        <f t="shared" si="14"/>
        <v>20435.809033197245</v>
      </c>
      <c r="R61" s="88">
        <f>VLOOKUP(G61,SEMANAS!$B$1:$C$301,2,0)</f>
        <v>23</v>
      </c>
      <c r="S61" s="88">
        <f>VLOOKUP(H61,SEMANAS!$B$1:$C$301,2,0)</f>
        <v>24</v>
      </c>
      <c r="T61" s="90">
        <f>VLOOKUP(B61,'MT-MO'!$A$3:$C$31,2,0)</f>
        <v>0.57761004134961225</v>
      </c>
      <c r="U61" s="90">
        <f>VLOOKUP(B61,'MT-MO'!$A$3:$C$31,3,0)</f>
        <v>0.42238995865038781</v>
      </c>
      <c r="V61" s="92">
        <f t="shared" si="2"/>
        <v>11803.928500677841</v>
      </c>
      <c r="W61" s="92">
        <f t="shared" si="3"/>
        <v>8631.8805325194062</v>
      </c>
      <c r="X61" s="80">
        <f t="shared" si="4"/>
        <v>44664</v>
      </c>
      <c r="Y61" s="80">
        <f t="shared" si="5"/>
        <v>44701</v>
      </c>
      <c r="Z61" s="95" t="s">
        <v>99</v>
      </c>
      <c r="AA61" s="96" t="s">
        <v>363</v>
      </c>
      <c r="AB61" s="96" t="s">
        <v>317</v>
      </c>
      <c r="AC61" s="96" t="s">
        <v>295</v>
      </c>
      <c r="AD61" s="80"/>
      <c r="AE61" s="89">
        <f t="shared" si="15"/>
        <v>0</v>
      </c>
      <c r="AF61" s="145" t="str">
        <f>IFERROR(VLOOKUP(K61,SEMANAS!$B$1:$C$301,2,0),"")</f>
        <v/>
      </c>
      <c r="AG61" s="102">
        <f t="shared" si="16"/>
        <v>0</v>
      </c>
      <c r="AH61" s="100">
        <f>IFERROR(VLOOKUP(L61,SEMANAS!$B$1:$C$301,2,0),"EXE")</f>
        <v>24</v>
      </c>
      <c r="AI61" s="100">
        <f>IFERROR(VLOOKUP(M61,SEMANAS!$B$1:$C$301,2,0),"EXE")</f>
        <v>25</v>
      </c>
      <c r="AJ61" s="101">
        <f>IF(AI61="EXE",0,Q61)</f>
        <v>20435.809033197245</v>
      </c>
    </row>
    <row r="62" spans="1:36">
      <c r="A62" t="s">
        <v>108</v>
      </c>
      <c r="B62" t="s">
        <v>47</v>
      </c>
      <c r="D62" t="s">
        <v>31</v>
      </c>
      <c r="E62" t="s">
        <v>16</v>
      </c>
      <c r="F62" s="97" t="str">
        <f t="shared" si="0"/>
        <v>Gesso LisoPAV3</v>
      </c>
      <c r="G62" s="80">
        <v>44693</v>
      </c>
      <c r="H62" s="80">
        <v>44700</v>
      </c>
      <c r="I62" s="105"/>
      <c r="J62" s="81"/>
      <c r="K62" s="81"/>
      <c r="L62" s="139">
        <f>IF(J62&gt;0,"executado",VLOOKUP(F62,REPLAN!$A$6:$C$127,2,0))</f>
        <v>44699</v>
      </c>
      <c r="M62" s="139">
        <f>IF(J62&gt;0,"executado",VLOOKUP(F62,REPLAN!$A$6:$C$127,3,0))</f>
        <v>44706</v>
      </c>
      <c r="N62" s="88">
        <v>447.45</v>
      </c>
      <c r="O62" s="88" t="s">
        <v>195</v>
      </c>
      <c r="P62" s="89">
        <f>VLOOKUP(B62,'CUSTO ATIVIDADE'!$A$1:$B$30,2,0)</f>
        <v>15.222400000000006</v>
      </c>
      <c r="Q62" s="91">
        <f t="shared" si="14"/>
        <v>6811.262880000002</v>
      </c>
      <c r="R62" s="88">
        <f>VLOOKUP(G62,SEMANAS!$B$1:$C$301,2,0)</f>
        <v>25</v>
      </c>
      <c r="S62" s="88">
        <f>VLOOKUP(H62,SEMANAS!$B$1:$C$301,2,0)</f>
        <v>26</v>
      </c>
      <c r="T62" s="90">
        <f>VLOOKUP(B62,'MT-MO'!$A$3:$C$31,2,0)</f>
        <v>0.45986419526518629</v>
      </c>
      <c r="U62" s="90">
        <f>VLOOKUP(B62,'MT-MO'!$A$3:$C$31,3,0)</f>
        <v>0.54013580473481371</v>
      </c>
      <c r="V62" s="92">
        <f t="shared" si="2"/>
        <v>3132.2559230508359</v>
      </c>
      <c r="W62" s="92">
        <f t="shared" si="3"/>
        <v>3679.0069569491661</v>
      </c>
      <c r="X62" s="80">
        <f t="shared" si="4"/>
        <v>44678</v>
      </c>
      <c r="Y62" s="80">
        <f t="shared" si="5"/>
        <v>44715</v>
      </c>
      <c r="Z62" s="95" t="s">
        <v>99</v>
      </c>
      <c r="AA62" s="96" t="s">
        <v>364</v>
      </c>
      <c r="AB62" s="96" t="s">
        <v>319</v>
      </c>
      <c r="AC62" s="96" t="s">
        <v>295</v>
      </c>
      <c r="AD62" s="80"/>
      <c r="AE62" s="89">
        <f t="shared" si="15"/>
        <v>0</v>
      </c>
      <c r="AF62" s="145" t="str">
        <f>IFERROR(VLOOKUP(K62,SEMANAS!$B$1:$C$301,2,0),"")</f>
        <v/>
      </c>
      <c r="AG62" s="102">
        <f t="shared" si="16"/>
        <v>0</v>
      </c>
      <c r="AH62" s="100">
        <f>IFERROR(VLOOKUP(L62,SEMANAS!$B$1:$C$301,2,0),"EXE")</f>
        <v>26</v>
      </c>
      <c r="AI62" s="100">
        <f>IFERROR(VLOOKUP(M62,SEMANAS!$B$1:$C$301,2,0),"EXE")</f>
        <v>27</v>
      </c>
      <c r="AJ62" s="101">
        <f>IF(AI62="EXE",0,Q62)</f>
        <v>6811.262880000002</v>
      </c>
    </row>
    <row r="63" spans="1:36">
      <c r="A63" t="s">
        <v>109</v>
      </c>
      <c r="B63" t="s">
        <v>49</v>
      </c>
      <c r="D63" t="s">
        <v>31</v>
      </c>
      <c r="E63" t="s">
        <v>16</v>
      </c>
      <c r="F63" s="97" t="str">
        <f t="shared" si="0"/>
        <v>Esquadria PAV3</v>
      </c>
      <c r="G63" s="80">
        <v>44714</v>
      </c>
      <c r="H63" s="80">
        <v>44721</v>
      </c>
      <c r="I63" s="105"/>
      <c r="J63" s="81"/>
      <c r="K63" s="81"/>
      <c r="L63" s="139">
        <f>IF(J63&gt;0,"executado",VLOOKUP(F63,REPLAN!$A$6:$C$127,2,0))</f>
        <v>44720</v>
      </c>
      <c r="M63" s="139">
        <f>IF(J63&gt;0,"executado",VLOOKUP(F63,REPLAN!$A$6:$C$127,3,0))</f>
        <v>44727</v>
      </c>
      <c r="N63" s="88">
        <v>21</v>
      </c>
      <c r="O63" s="88" t="s">
        <v>199</v>
      </c>
      <c r="P63" s="89">
        <f>VLOOKUP(B63,'CUSTO ATIVIDADE'!$A$1:$B$30,2,0)</f>
        <v>1261.9047619047619</v>
      </c>
      <c r="Q63" s="91">
        <f t="shared" si="14"/>
        <v>26500</v>
      </c>
      <c r="R63" s="88">
        <f>VLOOKUP(G63,SEMANAS!$B$1:$C$301,2,0)</f>
        <v>28</v>
      </c>
      <c r="S63" s="88">
        <f>VLOOKUP(H63,SEMANAS!$B$1:$C$301,2,0)</f>
        <v>29</v>
      </c>
      <c r="T63" s="90">
        <f>VLOOKUP(B63,'MT-MO'!$A$3:$C$31,2,0)</f>
        <v>0.19811320754716982</v>
      </c>
      <c r="U63" s="90">
        <f>VLOOKUP(B63,'MT-MO'!$A$3:$C$31,3,0)</f>
        <v>0.80188679245283023</v>
      </c>
      <c r="V63" s="92">
        <f t="shared" si="2"/>
        <v>5250</v>
      </c>
      <c r="W63" s="92">
        <f t="shared" si="3"/>
        <v>21250</v>
      </c>
      <c r="X63" s="80">
        <f t="shared" si="4"/>
        <v>44699</v>
      </c>
      <c r="Y63" s="80">
        <f t="shared" si="5"/>
        <v>44736</v>
      </c>
      <c r="Z63" s="95" t="s">
        <v>99</v>
      </c>
      <c r="AA63" s="96" t="s">
        <v>365</v>
      </c>
      <c r="AB63" s="96" t="s">
        <v>321</v>
      </c>
      <c r="AC63" s="96" t="s">
        <v>295</v>
      </c>
      <c r="AD63" s="80"/>
      <c r="AE63" s="89">
        <f t="shared" si="15"/>
        <v>0</v>
      </c>
      <c r="AF63" s="145" t="str">
        <f>IFERROR(VLOOKUP(K63,SEMANAS!$B$1:$C$301,2,0),"")</f>
        <v/>
      </c>
      <c r="AG63" s="102">
        <f t="shared" si="16"/>
        <v>0</v>
      </c>
      <c r="AH63" s="100">
        <f>IFERROR(VLOOKUP(L63,SEMANAS!$B$1:$C$301,2,0),"EXE")</f>
        <v>29</v>
      </c>
      <c r="AI63" s="100">
        <f>IFERROR(VLOOKUP(M63,SEMANAS!$B$1:$C$301,2,0),"EXE")</f>
        <v>30</v>
      </c>
      <c r="AJ63" s="101">
        <f>IF(AI63="EXE",0,Q63)</f>
        <v>26500</v>
      </c>
    </row>
    <row r="64" spans="1:36">
      <c r="A64" t="s">
        <v>110</v>
      </c>
      <c r="B64" t="s">
        <v>51</v>
      </c>
      <c r="D64" t="s">
        <v>31</v>
      </c>
      <c r="E64" t="s">
        <v>16</v>
      </c>
      <c r="F64" s="97" t="str">
        <f t="shared" si="0"/>
        <v>FiaçãoPAV3</v>
      </c>
      <c r="G64" s="80">
        <v>44721</v>
      </c>
      <c r="H64" s="80">
        <v>44728</v>
      </c>
      <c r="I64" s="105"/>
      <c r="J64" s="81"/>
      <c r="K64" s="81"/>
      <c r="L64" s="139">
        <f>IF(J64&gt;0,"executado",VLOOKUP(F64,REPLAN!$A$6:$C$127,2,0))</f>
        <v>44727</v>
      </c>
      <c r="M64" s="139">
        <f>IF(J64&gt;0,"executado",VLOOKUP(F64,REPLAN!$A$6:$C$127,3,0))</f>
        <v>44734</v>
      </c>
      <c r="N64" s="88">
        <v>4</v>
      </c>
      <c r="O64" s="88" t="s">
        <v>200</v>
      </c>
      <c r="P64" s="89">
        <f>VLOOKUP(B64,'CUSTO ATIVIDADE'!$A$1:$B$30,2,0)</f>
        <v>1283.6297966501836</v>
      </c>
      <c r="Q64" s="91">
        <f t="shared" si="14"/>
        <v>5134.5191866007344</v>
      </c>
      <c r="R64" s="88">
        <f>VLOOKUP(G64,SEMANAS!$B$1:$C$301,2,0)</f>
        <v>29</v>
      </c>
      <c r="S64" s="88">
        <f>VLOOKUP(H64,SEMANAS!$B$1:$C$301,2,0)</f>
        <v>30</v>
      </c>
      <c r="T64" s="90">
        <f>VLOOKUP(B64,'MT-MO'!$A$3:$C$31,2,0)</f>
        <v>0.62323497906319991</v>
      </c>
      <c r="U64" s="90">
        <f>VLOOKUP(B64,'MT-MO'!$A$3:$C$31,3,0)</f>
        <v>0.37676502093680009</v>
      </c>
      <c r="V64" s="92">
        <f t="shared" si="2"/>
        <v>3200.011957760707</v>
      </c>
      <c r="W64" s="92">
        <f t="shared" si="3"/>
        <v>1934.5072288400274</v>
      </c>
      <c r="X64" s="80">
        <f t="shared" si="4"/>
        <v>44706</v>
      </c>
      <c r="Y64" s="80">
        <f t="shared" si="5"/>
        <v>44743</v>
      </c>
      <c r="Z64" s="95" t="s">
        <v>99</v>
      </c>
      <c r="AA64" s="96" t="s">
        <v>364</v>
      </c>
      <c r="AB64" s="96" t="s">
        <v>322</v>
      </c>
      <c r="AC64" s="96" t="s">
        <v>295</v>
      </c>
      <c r="AD64" s="80"/>
      <c r="AE64" s="89">
        <f t="shared" si="15"/>
        <v>0</v>
      </c>
      <c r="AF64" s="145" t="str">
        <f>IFERROR(VLOOKUP(K64,SEMANAS!$B$1:$C$301,2,0),"")</f>
        <v/>
      </c>
      <c r="AG64" s="102">
        <f t="shared" si="16"/>
        <v>0</v>
      </c>
      <c r="AH64" s="100">
        <f>IFERROR(VLOOKUP(L64,SEMANAS!$B$1:$C$301,2,0),"EXE")</f>
        <v>30</v>
      </c>
      <c r="AI64" s="100">
        <f>IFERROR(VLOOKUP(M64,SEMANAS!$B$1:$C$301,2,0),"EXE")</f>
        <v>31</v>
      </c>
      <c r="AJ64" s="101">
        <f>IF(AI64="EXE",0,Q64)</f>
        <v>5134.5191866007344</v>
      </c>
    </row>
    <row r="65" spans="1:36">
      <c r="A65" t="s">
        <v>111</v>
      </c>
      <c r="B65" t="s">
        <v>53</v>
      </c>
      <c r="D65" t="s">
        <v>31</v>
      </c>
      <c r="E65" t="s">
        <v>16</v>
      </c>
      <c r="F65" s="97" t="str">
        <f t="shared" si="0"/>
        <v>ForroPAV3</v>
      </c>
      <c r="G65" s="80">
        <v>44735</v>
      </c>
      <c r="H65" s="80">
        <v>44742</v>
      </c>
      <c r="I65" s="105"/>
      <c r="J65" s="81"/>
      <c r="K65" s="81"/>
      <c r="L65" s="139">
        <f>IF(J65&gt;0,"executado",VLOOKUP(F65,REPLAN!$A$6:$C$127,2,0))</f>
        <v>44741</v>
      </c>
      <c r="M65" s="139">
        <f>IF(J65&gt;0,"executado",VLOOKUP(F65,REPLAN!$A$6:$C$127,3,0))</f>
        <v>44748</v>
      </c>
      <c r="N65" s="88">
        <v>29.29</v>
      </c>
      <c r="O65" s="88" t="s">
        <v>195</v>
      </c>
      <c r="P65" s="89">
        <f>VLOOKUP(B65,'CUSTO ATIVIDADE'!$A$1:$B$30,2,0)</f>
        <v>78.445334999999986</v>
      </c>
      <c r="Q65" s="91">
        <f t="shared" si="14"/>
        <v>2297.6638621499997</v>
      </c>
      <c r="R65" s="88">
        <f>VLOOKUP(G65,SEMANAS!$B$1:$C$301,2,0)</f>
        <v>31</v>
      </c>
      <c r="S65" s="88">
        <f>VLOOKUP(H65,SEMANAS!$B$1:$C$301,2,0)</f>
        <v>32</v>
      </c>
      <c r="T65" s="90">
        <f>VLOOKUP(B65,'MT-MO'!$A$3:$C$31,2,0)</f>
        <v>0.31868131868131866</v>
      </c>
      <c r="U65" s="90">
        <f>VLOOKUP(B65,'MT-MO'!$A$3:$C$31,3,0)</f>
        <v>0.68131868131868134</v>
      </c>
      <c r="V65" s="92">
        <f t="shared" si="2"/>
        <v>732.2225494763735</v>
      </c>
      <c r="W65" s="92">
        <f t="shared" si="3"/>
        <v>1565.4413126736263</v>
      </c>
      <c r="X65" s="80">
        <f t="shared" si="4"/>
        <v>44720</v>
      </c>
      <c r="Y65" s="80">
        <f t="shared" si="5"/>
        <v>44757</v>
      </c>
      <c r="Z65" s="95" t="s">
        <v>99</v>
      </c>
      <c r="AA65" s="96" t="s">
        <v>366</v>
      </c>
      <c r="AB65" s="96" t="s">
        <v>324</v>
      </c>
      <c r="AC65" s="96" t="s">
        <v>295</v>
      </c>
      <c r="AD65" s="80"/>
      <c r="AE65" s="89">
        <f t="shared" si="15"/>
        <v>0</v>
      </c>
      <c r="AF65" s="145" t="str">
        <f>IFERROR(VLOOKUP(K65,SEMANAS!$B$1:$C$301,2,0),"")</f>
        <v/>
      </c>
      <c r="AG65" s="102">
        <f t="shared" si="16"/>
        <v>0</v>
      </c>
      <c r="AH65" s="100">
        <f>IFERROR(VLOOKUP(L65,SEMANAS!$B$1:$C$301,2,0),"EXE")</f>
        <v>32</v>
      </c>
      <c r="AI65" s="100">
        <f>IFERROR(VLOOKUP(M65,SEMANAS!$B$1:$C$301,2,0),"EXE")</f>
        <v>33</v>
      </c>
      <c r="AJ65" s="101">
        <f>IF(AI65="EXE",0,Q65)</f>
        <v>2297.6638621499997</v>
      </c>
    </row>
    <row r="66" spans="1:36">
      <c r="A66" t="s">
        <v>112</v>
      </c>
      <c r="B66" t="s">
        <v>55</v>
      </c>
      <c r="D66" t="s">
        <v>31</v>
      </c>
      <c r="E66" t="s">
        <v>41</v>
      </c>
      <c r="F66" s="97" t="str">
        <f t="shared" si="0"/>
        <v>Disjuntores e CDPAV3</v>
      </c>
      <c r="G66" s="80">
        <v>44742</v>
      </c>
      <c r="H66" s="80">
        <v>44746</v>
      </c>
      <c r="I66" s="105"/>
      <c r="J66" s="81"/>
      <c r="K66" s="81"/>
      <c r="L66" s="139">
        <f>IF(J66&gt;0,"executado",VLOOKUP(F66,REPLAN!$A$6:$C$127,2,0))</f>
        <v>44748</v>
      </c>
      <c r="M66" s="139">
        <f>IF(J66&gt;0,"executado",VLOOKUP(F66,REPLAN!$A$6:$C$127,3,0))</f>
        <v>44750</v>
      </c>
      <c r="N66" s="88">
        <v>4</v>
      </c>
      <c r="O66" s="88" t="s">
        <v>200</v>
      </c>
      <c r="P66" s="89">
        <f>VLOOKUP(B66,'CUSTO ATIVIDADE'!$A$1:$B$30,2,0)</f>
        <v>350</v>
      </c>
      <c r="Q66" s="91">
        <f t="shared" si="14"/>
        <v>1400</v>
      </c>
      <c r="R66" s="88">
        <f>VLOOKUP(G66,SEMANAS!$B$1:$C$301,2,0)</f>
        <v>32</v>
      </c>
      <c r="S66" s="88">
        <f>VLOOKUP(H66,SEMANAS!$B$1:$C$301,2,0)</f>
        <v>33</v>
      </c>
      <c r="T66" s="90">
        <f>VLOOKUP(B66,'MT-MO'!$A$3:$C$31,2,0)</f>
        <v>1</v>
      </c>
      <c r="U66" s="90">
        <f>VLOOKUP(B66,'MT-MO'!$A$3:$C$31,3,0)</f>
        <v>0</v>
      </c>
      <c r="V66" s="92">
        <f t="shared" si="2"/>
        <v>1400</v>
      </c>
      <c r="W66" s="92">
        <f t="shared" si="3"/>
        <v>0</v>
      </c>
      <c r="X66" s="80">
        <f t="shared" si="4"/>
        <v>44727</v>
      </c>
      <c r="Y66" s="80">
        <f t="shared" si="5"/>
        <v>44761</v>
      </c>
      <c r="Z66" s="95" t="s">
        <v>99</v>
      </c>
      <c r="AA66" s="96" t="s">
        <v>367</v>
      </c>
      <c r="AB66" s="96" t="s">
        <v>326</v>
      </c>
      <c r="AC66" s="96" t="s">
        <v>295</v>
      </c>
      <c r="AD66" s="80"/>
      <c r="AE66" s="89">
        <f t="shared" si="15"/>
        <v>0</v>
      </c>
      <c r="AF66" s="145" t="str">
        <f>IFERROR(VLOOKUP(K66,SEMANAS!$B$1:$C$301,2,0),"")</f>
        <v/>
      </c>
      <c r="AG66" s="102">
        <f t="shared" si="16"/>
        <v>0</v>
      </c>
      <c r="AH66" s="100">
        <f>IFERROR(VLOOKUP(L66,SEMANAS!$B$1:$C$301,2,0),"EXE")</f>
        <v>33</v>
      </c>
      <c r="AI66" s="100">
        <f>IFERROR(VLOOKUP(M66,SEMANAS!$B$1:$C$301,2,0),"EXE")</f>
        <v>33</v>
      </c>
      <c r="AJ66" s="101">
        <f>IF(AI66="EXE",0,Q66)</f>
        <v>1400</v>
      </c>
    </row>
    <row r="67" spans="1:36">
      <c r="A67" t="s">
        <v>113</v>
      </c>
      <c r="B67" t="s">
        <v>57</v>
      </c>
      <c r="C67" t="s">
        <v>34</v>
      </c>
      <c r="D67" t="s">
        <v>31</v>
      </c>
      <c r="E67" t="s">
        <v>16</v>
      </c>
      <c r="F67" s="97" t="str">
        <f t="shared" si="0"/>
        <v>Rev. da CirculaçãoPAV3</v>
      </c>
      <c r="G67" s="80">
        <v>44742</v>
      </c>
      <c r="H67" s="80">
        <v>44749</v>
      </c>
      <c r="I67" s="105"/>
      <c r="J67" s="81"/>
      <c r="K67" s="81"/>
      <c r="L67" s="139">
        <f>IF(J67&gt;0,"executado",VLOOKUP(F67,REPLAN!$A$6:$C$127,2,0))</f>
        <v>44748</v>
      </c>
      <c r="M67" s="139">
        <f>IF(J67&gt;0,"executado",VLOOKUP(F67,REPLAN!$A$6:$C$127,3,0))</f>
        <v>44755</v>
      </c>
      <c r="N67" s="88">
        <v>22.5</v>
      </c>
      <c r="O67" s="88" t="s">
        <v>195</v>
      </c>
      <c r="P67" s="89">
        <f>VLOOKUP(B67,'CUSTO ATIVIDADE'!$A$1:$B$30,2,0)</f>
        <v>160.77478755454416</v>
      </c>
      <c r="Q67" s="91">
        <f t="shared" si="14"/>
        <v>3617.4327199772438</v>
      </c>
      <c r="R67" s="88">
        <f>VLOOKUP(G67,SEMANAS!$B$1:$C$301,2,0)</f>
        <v>32</v>
      </c>
      <c r="S67" s="88">
        <f>VLOOKUP(H67,SEMANAS!$B$1:$C$301,2,0)</f>
        <v>33</v>
      </c>
      <c r="T67" s="90">
        <f>VLOOKUP(B67,'MT-MO'!$A$3:$C$31,2,0)</f>
        <v>0.28742225293711127</v>
      </c>
      <c r="U67" s="90">
        <f>VLOOKUP(B67,'MT-MO'!$A$3:$C$31,3,0)</f>
        <v>0.71257774706288879</v>
      </c>
      <c r="V67" s="92">
        <f t="shared" si="2"/>
        <v>1039.7306622242818</v>
      </c>
      <c r="W67" s="92">
        <f t="shared" si="3"/>
        <v>2577.7020577529624</v>
      </c>
      <c r="X67" s="80">
        <f t="shared" si="4"/>
        <v>44727</v>
      </c>
      <c r="Y67" s="80">
        <f t="shared" si="5"/>
        <v>44764</v>
      </c>
      <c r="Z67" s="95" t="s">
        <v>99</v>
      </c>
      <c r="AA67" s="96" t="s">
        <v>368</v>
      </c>
      <c r="AB67" s="96" t="s">
        <v>328</v>
      </c>
      <c r="AC67" s="96" t="s">
        <v>295</v>
      </c>
      <c r="AD67" s="80"/>
      <c r="AE67" s="89">
        <f t="shared" si="15"/>
        <v>0</v>
      </c>
      <c r="AF67" s="145" t="str">
        <f>IFERROR(VLOOKUP(K67,SEMANAS!$B$1:$C$301,2,0),"")</f>
        <v/>
      </c>
      <c r="AG67" s="102">
        <f t="shared" si="16"/>
        <v>0</v>
      </c>
      <c r="AH67" s="100">
        <f>IFERROR(VLOOKUP(L67,SEMANAS!$B$1:$C$301,2,0),"EXE")</f>
        <v>33</v>
      </c>
      <c r="AI67" s="100">
        <f>IFERROR(VLOOKUP(M67,SEMANAS!$B$1:$C$301,2,0),"EXE")</f>
        <v>34</v>
      </c>
      <c r="AJ67" s="101">
        <f>IF(AI67="EXE",0,Q67)</f>
        <v>3617.4327199772438</v>
      </c>
    </row>
    <row r="68" spans="1:36">
      <c r="A68" t="s">
        <v>114</v>
      </c>
      <c r="B68" t="s">
        <v>59</v>
      </c>
      <c r="D68" t="s">
        <v>31</v>
      </c>
      <c r="E68" t="s">
        <v>16</v>
      </c>
      <c r="F68" s="97" t="str">
        <f t="shared" ref="F68:F121" si="17">CONCATENATE(B68,Z68)</f>
        <v>Pintura Interna - 1ªdmãoPAV3</v>
      </c>
      <c r="G68" s="80">
        <v>44749</v>
      </c>
      <c r="H68" s="80">
        <v>44756</v>
      </c>
      <c r="I68" s="105"/>
      <c r="J68" s="81"/>
      <c r="K68" s="81"/>
      <c r="L68" s="139">
        <f>IF(J68&gt;0,"executado",VLOOKUP(F68,REPLAN!$A$6:$C$127,2,0))</f>
        <v>44755</v>
      </c>
      <c r="M68" s="139">
        <f>IF(J68&gt;0,"executado",VLOOKUP(F68,REPLAN!$A$6:$C$127,3,0))</f>
        <v>44762</v>
      </c>
      <c r="N68" s="88">
        <v>476.74</v>
      </c>
      <c r="O68" s="88" t="s">
        <v>195</v>
      </c>
      <c r="P68" s="89">
        <f>VLOOKUP(B68,'CUSTO ATIVIDADE'!$A$1:$B$30,2,0)</f>
        <v>31.043507801912533</v>
      </c>
      <c r="Q68" s="91">
        <f t="shared" si="14"/>
        <v>14799.681909483781</v>
      </c>
      <c r="R68" s="88">
        <f>VLOOKUP(G68,SEMANAS!$B$1:$C$301,2,0)</f>
        <v>33</v>
      </c>
      <c r="S68" s="88">
        <f>VLOOKUP(H68,SEMANAS!$B$1:$C$301,2,0)</f>
        <v>34</v>
      </c>
      <c r="T68" s="90">
        <f>VLOOKUP(B68,'MT-MO'!$A$3:$C$31,2,0)</f>
        <v>0.52623399439170238</v>
      </c>
      <c r="U68" s="90">
        <f>VLOOKUP(B68,'MT-MO'!$A$3:$C$31,3,0)</f>
        <v>0.47376600560829757</v>
      </c>
      <c r="V68" s="92">
        <f t="shared" si="2"/>
        <v>7788.0957269542669</v>
      </c>
      <c r="W68" s="92">
        <f t="shared" si="3"/>
        <v>7011.5861825295133</v>
      </c>
      <c r="X68" s="80">
        <f t="shared" si="4"/>
        <v>44734</v>
      </c>
      <c r="Y68" s="80">
        <f t="shared" si="5"/>
        <v>44771</v>
      </c>
      <c r="Z68" s="95" t="s">
        <v>99</v>
      </c>
      <c r="AA68" s="96" t="s">
        <v>364</v>
      </c>
      <c r="AB68" s="96" t="s">
        <v>329</v>
      </c>
      <c r="AC68" s="96" t="s">
        <v>295</v>
      </c>
      <c r="AD68" s="80"/>
      <c r="AE68" s="89">
        <f t="shared" si="15"/>
        <v>0</v>
      </c>
      <c r="AF68" s="145" t="str">
        <f>IFERROR(VLOOKUP(K68,SEMANAS!$B$1:$C$301,2,0),"")</f>
        <v/>
      </c>
      <c r="AG68" s="102">
        <f t="shared" si="16"/>
        <v>0</v>
      </c>
      <c r="AH68" s="100">
        <f>IFERROR(VLOOKUP(L68,SEMANAS!$B$1:$C$301,2,0),"EXE")</f>
        <v>34</v>
      </c>
      <c r="AI68" s="100">
        <f>IFERROR(VLOOKUP(M68,SEMANAS!$B$1:$C$301,2,0),"EXE")</f>
        <v>35</v>
      </c>
      <c r="AJ68" s="101">
        <f>IF(AI68="EXE",0,Q68)</f>
        <v>14799.681909483781</v>
      </c>
    </row>
    <row r="69" spans="1:36">
      <c r="A69" t="s">
        <v>115</v>
      </c>
      <c r="B69" t="s">
        <v>61</v>
      </c>
      <c r="C69" t="s">
        <v>34</v>
      </c>
      <c r="D69" t="s">
        <v>31</v>
      </c>
      <c r="E69" t="s">
        <v>41</v>
      </c>
      <c r="F69" s="97" t="str">
        <f t="shared" si="17"/>
        <v>LouçasPAV3</v>
      </c>
      <c r="G69" s="80">
        <v>44761</v>
      </c>
      <c r="H69" s="80">
        <v>44763</v>
      </c>
      <c r="I69" s="105"/>
      <c r="J69" s="81"/>
      <c r="K69" s="81"/>
      <c r="L69" s="139">
        <f>IF(J69&gt;0,"executado",VLOOKUP(F69,REPLAN!$A$6:$C$127,2,0))</f>
        <v>44762</v>
      </c>
      <c r="M69" s="139">
        <f>IF(J69&gt;0,"executado",VLOOKUP(F69,REPLAN!$A$6:$C$127,3,0))</f>
        <v>44764</v>
      </c>
      <c r="N69" s="88">
        <v>16</v>
      </c>
      <c r="O69" s="88" t="s">
        <v>199</v>
      </c>
      <c r="P69" s="89">
        <f>VLOOKUP(B69,'CUSTO ATIVIDADE'!$A$1:$B$30,2,0)</f>
        <v>327.25146699999999</v>
      </c>
      <c r="Q69" s="91">
        <f t="shared" si="14"/>
        <v>5236.0234719999999</v>
      </c>
      <c r="R69" s="88">
        <f>VLOOKUP(G69,SEMANAS!$B$1:$C$301,2,0)</f>
        <v>35</v>
      </c>
      <c r="S69" s="88">
        <f>VLOOKUP(H69,SEMANAS!$B$1:$C$301,2,0)</f>
        <v>35</v>
      </c>
      <c r="T69" s="90">
        <f>VLOOKUP(B69,'MT-MO'!$A$3:$C$31,2,0)</f>
        <v>0.15279568352194051</v>
      </c>
      <c r="U69" s="90">
        <f>VLOOKUP(B69,'MT-MO'!$A$3:$C$31,3,0)</f>
        <v>0.84720431647805949</v>
      </c>
      <c r="V69" s="92">
        <f t="shared" si="2"/>
        <v>800.04178534116409</v>
      </c>
      <c r="W69" s="92">
        <f t="shared" si="3"/>
        <v>4435.9816866588353</v>
      </c>
      <c r="X69" s="80">
        <f t="shared" si="4"/>
        <v>44746</v>
      </c>
      <c r="Y69" s="80">
        <f t="shared" si="5"/>
        <v>44778</v>
      </c>
      <c r="Z69" s="95" t="s">
        <v>99</v>
      </c>
      <c r="AA69" s="96" t="s">
        <v>369</v>
      </c>
      <c r="AB69" s="96" t="s">
        <v>331</v>
      </c>
      <c r="AC69" s="96" t="s">
        <v>295</v>
      </c>
      <c r="AD69" s="80"/>
      <c r="AE69" s="89">
        <f t="shared" si="15"/>
        <v>0</v>
      </c>
      <c r="AF69" s="145" t="str">
        <f>IFERROR(VLOOKUP(K69,SEMANAS!$B$1:$C$301,2,0),"")</f>
        <v/>
      </c>
      <c r="AG69" s="102">
        <f t="shared" si="16"/>
        <v>0</v>
      </c>
      <c r="AH69" s="100">
        <f>IFERROR(VLOOKUP(L69,SEMANAS!$B$1:$C$301,2,0),"EXE")</f>
        <v>35</v>
      </c>
      <c r="AI69" s="100">
        <f>IFERROR(VLOOKUP(M69,SEMANAS!$B$1:$C$301,2,0),"EXE")</f>
        <v>35</v>
      </c>
      <c r="AJ69" s="101">
        <f>IF(AI69="EXE",0,Q69)</f>
        <v>5236.0234719999999</v>
      </c>
    </row>
    <row r="70" spans="1:36">
      <c r="A70" t="s">
        <v>116</v>
      </c>
      <c r="B70" t="s">
        <v>63</v>
      </c>
      <c r="C70" t="s">
        <v>34</v>
      </c>
      <c r="D70" t="s">
        <v>31</v>
      </c>
      <c r="E70" t="s">
        <v>41</v>
      </c>
      <c r="F70" s="97" t="str">
        <f t="shared" si="17"/>
        <v>Portas de MadeiraPAV3</v>
      </c>
      <c r="G70" s="80">
        <v>44763</v>
      </c>
      <c r="H70" s="80">
        <v>44767</v>
      </c>
      <c r="I70" s="105"/>
      <c r="J70" s="81"/>
      <c r="K70" s="81"/>
      <c r="L70" s="139">
        <f>IF(J70&gt;0,"executado",VLOOKUP(F70,REPLAN!$A$6:$C$127,2,0))</f>
        <v>44767</v>
      </c>
      <c r="M70" s="139">
        <f>IF(J70&gt;0,"executado",VLOOKUP(F70,REPLAN!$A$6:$C$127,3,0))</f>
        <v>44769</v>
      </c>
      <c r="N70" s="88">
        <v>20</v>
      </c>
      <c r="O70" s="88" t="s">
        <v>199</v>
      </c>
      <c r="P70" s="89">
        <f>VLOOKUP(B70,'CUSTO ATIVIDADE'!$A$1:$B$30,2,0)</f>
        <v>520</v>
      </c>
      <c r="Q70" s="91">
        <f t="shared" si="14"/>
        <v>10400</v>
      </c>
      <c r="R70" s="88">
        <f>VLOOKUP(G70,SEMANAS!$B$1:$C$301,2,0)</f>
        <v>35</v>
      </c>
      <c r="S70" s="88">
        <f>VLOOKUP(H70,SEMANAS!$B$1:$C$301,2,0)</f>
        <v>36</v>
      </c>
      <c r="T70" s="90">
        <f>VLOOKUP(B70,'MT-MO'!$A$3:$C$31,2,0)</f>
        <v>0.15384615384615385</v>
      </c>
      <c r="U70" s="90">
        <f>VLOOKUP(B70,'MT-MO'!$A$3:$C$31,3,0)</f>
        <v>0.84615384615384615</v>
      </c>
      <c r="V70" s="92">
        <f t="shared" ref="V70:V121" si="18">T70*Q70</f>
        <v>1600</v>
      </c>
      <c r="W70" s="92">
        <f t="shared" ref="W70:W121" si="19">U70*Q70</f>
        <v>8800</v>
      </c>
      <c r="X70" s="80">
        <f t="shared" ref="X70:X121" si="20">G70-15</f>
        <v>44748</v>
      </c>
      <c r="Y70" s="80">
        <f t="shared" ref="Y70:Y121" si="21">H70+15</f>
        <v>44782</v>
      </c>
      <c r="Z70" s="95" t="s">
        <v>99</v>
      </c>
      <c r="AA70" s="96" t="s">
        <v>370</v>
      </c>
      <c r="AB70" s="96" t="s">
        <v>333</v>
      </c>
      <c r="AC70" s="96" t="s">
        <v>295</v>
      </c>
      <c r="AD70" s="80"/>
      <c r="AE70" s="89">
        <f t="shared" si="15"/>
        <v>0</v>
      </c>
      <c r="AF70" s="145" t="str">
        <f>IFERROR(VLOOKUP(K70,SEMANAS!$B$1:$C$301,2,0),"")</f>
        <v/>
      </c>
      <c r="AG70" s="102">
        <f t="shared" si="16"/>
        <v>0</v>
      </c>
      <c r="AH70" s="100">
        <f>IFERROR(VLOOKUP(L70,SEMANAS!$B$1:$C$301,2,0),"EXE")</f>
        <v>36</v>
      </c>
      <c r="AI70" s="100">
        <f>IFERROR(VLOOKUP(M70,SEMANAS!$B$1:$C$301,2,0),"EXE")</f>
        <v>36</v>
      </c>
      <c r="AJ70" s="101">
        <f>IF(AI70="EXE",0,Q70)</f>
        <v>10400</v>
      </c>
    </row>
    <row r="71" spans="1:36">
      <c r="A71" t="s">
        <v>117</v>
      </c>
      <c r="B71" t="s">
        <v>65</v>
      </c>
      <c r="D71" t="s">
        <v>31</v>
      </c>
      <c r="E71" t="s">
        <v>16</v>
      </c>
      <c r="F71" s="97" t="str">
        <f t="shared" si="17"/>
        <v>Piso Laminado + RodapéPAV3</v>
      </c>
      <c r="G71" s="80">
        <v>44775</v>
      </c>
      <c r="H71" s="80">
        <v>44781</v>
      </c>
      <c r="I71" s="105"/>
      <c r="J71" s="81"/>
      <c r="K71" s="81"/>
      <c r="L71" s="139">
        <f>IF(J71&gt;0,"executado",VLOOKUP(F71,REPLAN!$A$6:$C$127,2,0))</f>
        <v>44775</v>
      </c>
      <c r="M71" s="139">
        <f>IF(J71&gt;0,"executado",VLOOKUP(F71,REPLAN!$A$6:$C$127,3,0))</f>
        <v>44781</v>
      </c>
      <c r="N71" s="88">
        <v>80.88</v>
      </c>
      <c r="O71" s="88" t="s">
        <v>195</v>
      </c>
      <c r="P71" s="89">
        <f>VLOOKUP(B71,'CUSTO ATIVIDADE'!$A$1:$B$30,2,0)</f>
        <v>162.85785630043145</v>
      </c>
      <c r="Q71" s="91">
        <f t="shared" si="14"/>
        <v>13171.943417578896</v>
      </c>
      <c r="R71" s="88">
        <f>VLOOKUP(G71,SEMANAS!$B$1:$C$301,2,0)</f>
        <v>37</v>
      </c>
      <c r="S71" s="88">
        <f>VLOOKUP(H71,SEMANAS!$B$1:$C$301,2,0)</f>
        <v>38</v>
      </c>
      <c r="T71" s="90">
        <f>VLOOKUP(B71,'MT-MO'!$A$3:$C$31,2,0)</f>
        <v>0.15351618107620765</v>
      </c>
      <c r="U71" s="90">
        <f>VLOOKUP(B71,'MT-MO'!$A$3:$C$31,3,0)</f>
        <v>0.84648381892379232</v>
      </c>
      <c r="V71" s="92">
        <f t="shared" si="18"/>
        <v>2022.1064508186032</v>
      </c>
      <c r="W71" s="92">
        <f t="shared" si="19"/>
        <v>11149.836966760293</v>
      </c>
      <c r="X71" s="80">
        <f t="shared" si="20"/>
        <v>44760</v>
      </c>
      <c r="Y71" s="80">
        <f t="shared" si="21"/>
        <v>44796</v>
      </c>
      <c r="Z71" s="95" t="s">
        <v>99</v>
      </c>
      <c r="AA71" s="96" t="s">
        <v>371</v>
      </c>
      <c r="AB71" s="96" t="s">
        <v>335</v>
      </c>
      <c r="AC71" s="96" t="s">
        <v>295</v>
      </c>
      <c r="AD71" s="80"/>
      <c r="AE71" s="89">
        <f t="shared" si="15"/>
        <v>0</v>
      </c>
      <c r="AF71" s="145" t="str">
        <f>IFERROR(VLOOKUP(K71,SEMANAS!$B$1:$C$301,2,0),"")</f>
        <v/>
      </c>
      <c r="AG71" s="102">
        <f t="shared" si="16"/>
        <v>0</v>
      </c>
      <c r="AH71" s="100">
        <f>IFERROR(VLOOKUP(L71,SEMANAS!$B$1:$C$301,2,0),"EXE")</f>
        <v>37</v>
      </c>
      <c r="AI71" s="100">
        <f>IFERROR(VLOOKUP(M71,SEMANAS!$B$1:$C$301,2,0),"EXE")</f>
        <v>38</v>
      </c>
      <c r="AJ71" s="101">
        <f>IF(AI71="EXE",0,Q71)</f>
        <v>13171.943417578896</v>
      </c>
    </row>
    <row r="72" spans="1:36">
      <c r="A72" t="s">
        <v>118</v>
      </c>
      <c r="B72" t="s">
        <v>67</v>
      </c>
      <c r="D72" t="s">
        <v>31</v>
      </c>
      <c r="E72" t="s">
        <v>41</v>
      </c>
      <c r="F72" s="97" t="str">
        <f t="shared" si="17"/>
        <v>MetaisPAV3</v>
      </c>
      <c r="G72" s="80">
        <v>44784</v>
      </c>
      <c r="H72" s="80">
        <v>44788</v>
      </c>
      <c r="I72" s="105"/>
      <c r="J72" s="81"/>
      <c r="K72" s="81"/>
      <c r="L72" s="139">
        <f>IF(J72&gt;0,"executado",VLOOKUP(F72,REPLAN!$A$6:$C$127,2,0))</f>
        <v>44784</v>
      </c>
      <c r="M72" s="139">
        <f>IF(J72&gt;0,"executado",VLOOKUP(F72,REPLAN!$A$6:$C$127,3,0))</f>
        <v>44788</v>
      </c>
      <c r="N72" s="88">
        <v>12</v>
      </c>
      <c r="O72" s="88" t="s">
        <v>199</v>
      </c>
      <c r="P72" s="89">
        <f>VLOOKUP(B72,'CUSTO ATIVIDADE'!$A$1:$B$30,2,0)</f>
        <v>111.67</v>
      </c>
      <c r="Q72" s="91">
        <f t="shared" si="14"/>
        <v>1340.04</v>
      </c>
      <c r="R72" s="88">
        <f>VLOOKUP(G72,SEMANAS!$B$1:$C$301,2,0)</f>
        <v>38</v>
      </c>
      <c r="S72" s="88">
        <f>VLOOKUP(H72,SEMANAS!$B$1:$C$301,2,0)</f>
        <v>39</v>
      </c>
      <c r="T72" s="90">
        <f>VLOOKUP(B72,'MT-MO'!$A$3:$C$31,2,0)</f>
        <v>0.44776119402985076</v>
      </c>
      <c r="U72" s="90">
        <f>VLOOKUP(B72,'MT-MO'!$A$3:$C$31,3,0)</f>
        <v>0.55223880597014929</v>
      </c>
      <c r="V72" s="92">
        <f t="shared" si="18"/>
        <v>600.01791044776121</v>
      </c>
      <c r="W72" s="92">
        <f t="shared" si="19"/>
        <v>740.02208955223887</v>
      </c>
      <c r="X72" s="80">
        <f t="shared" si="20"/>
        <v>44769</v>
      </c>
      <c r="Y72" s="80">
        <f t="shared" si="21"/>
        <v>44803</v>
      </c>
      <c r="Z72" s="95" t="s">
        <v>99</v>
      </c>
      <c r="AA72" s="96" t="s">
        <v>372</v>
      </c>
      <c r="AB72" s="96" t="s">
        <v>337</v>
      </c>
      <c r="AC72" s="96" t="s">
        <v>295</v>
      </c>
      <c r="AD72" s="80"/>
      <c r="AE72" s="89">
        <f t="shared" si="15"/>
        <v>0</v>
      </c>
      <c r="AF72" s="145" t="str">
        <f>IFERROR(VLOOKUP(K72,SEMANAS!$B$1:$C$301,2,0),"")</f>
        <v/>
      </c>
      <c r="AG72" s="102">
        <f t="shared" si="16"/>
        <v>0</v>
      </c>
      <c r="AH72" s="100">
        <f>IFERROR(VLOOKUP(L72,SEMANAS!$B$1:$C$301,2,0),"EXE")</f>
        <v>38</v>
      </c>
      <c r="AI72" s="100">
        <f>IFERROR(VLOOKUP(M72,SEMANAS!$B$1:$C$301,2,0),"EXE")</f>
        <v>39</v>
      </c>
      <c r="AJ72" s="101">
        <f>IF(AI72="EXE",0,Q72)</f>
        <v>1340.04</v>
      </c>
    </row>
    <row r="73" spans="1:36">
      <c r="A73" t="s">
        <v>119</v>
      </c>
      <c r="B73" t="s">
        <v>69</v>
      </c>
      <c r="D73" t="s">
        <v>31</v>
      </c>
      <c r="E73" t="s">
        <v>41</v>
      </c>
      <c r="F73" s="97" t="str">
        <f t="shared" si="17"/>
        <v>Acabamentos ElétricosPAV3</v>
      </c>
      <c r="G73" s="80">
        <v>44784</v>
      </c>
      <c r="H73" s="80">
        <v>44788</v>
      </c>
      <c r="I73" s="105"/>
      <c r="J73" s="81"/>
      <c r="K73" s="81"/>
      <c r="L73" s="139">
        <f>IF(J73&gt;0,"executado",VLOOKUP(F73,REPLAN!$A$6:$C$127,2,0))</f>
        <v>44784</v>
      </c>
      <c r="M73" s="139">
        <f>IF(J73&gt;0,"executado",VLOOKUP(F73,REPLAN!$A$6:$C$127,3,0))</f>
        <v>44788</v>
      </c>
      <c r="N73" s="87">
        <v>4</v>
      </c>
      <c r="O73" s="88" t="s">
        <v>200</v>
      </c>
      <c r="P73" s="89">
        <f>VLOOKUP(B73,'CUSTO ATIVIDADE'!$A$1:$B$30,2,0)</f>
        <v>513.50426281564182</v>
      </c>
      <c r="Q73" s="91">
        <f t="shared" si="14"/>
        <v>2054.0170512625673</v>
      </c>
      <c r="R73" s="88">
        <f>VLOOKUP(G73,SEMANAS!$B$1:$C$301,2,0)</f>
        <v>38</v>
      </c>
      <c r="S73" s="88">
        <f>VLOOKUP(H73,SEMANAS!$B$1:$C$301,2,0)</f>
        <v>39</v>
      </c>
      <c r="T73" s="90">
        <f>VLOOKUP(B73,'MT-MO'!$A$3:$C$32,2,0)</f>
        <v>0.45</v>
      </c>
      <c r="U73" s="90">
        <f>VLOOKUP(B73,'MT-MO'!$A$3:$C$32,3,0)</f>
        <v>0.55000000000000004</v>
      </c>
      <c r="V73" s="92">
        <f t="shared" si="18"/>
        <v>924.30767306815528</v>
      </c>
      <c r="W73" s="92">
        <f t="shared" si="19"/>
        <v>1129.709378194412</v>
      </c>
      <c r="X73" s="80">
        <f t="shared" si="20"/>
        <v>44769</v>
      </c>
      <c r="Y73" s="80">
        <f t="shared" si="21"/>
        <v>44803</v>
      </c>
      <c r="Z73" s="95" t="s">
        <v>99</v>
      </c>
      <c r="AA73" s="96" t="s">
        <v>364</v>
      </c>
      <c r="AB73" s="96" t="s">
        <v>338</v>
      </c>
      <c r="AC73" s="96" t="s">
        <v>295</v>
      </c>
      <c r="AD73" s="80"/>
      <c r="AE73" s="89">
        <f t="shared" si="15"/>
        <v>0</v>
      </c>
      <c r="AF73" s="145" t="str">
        <f>IFERROR(VLOOKUP(K73,SEMANAS!$B$1:$C$301,2,0),"")</f>
        <v/>
      </c>
      <c r="AG73" s="102">
        <f t="shared" si="16"/>
        <v>0</v>
      </c>
      <c r="AH73" s="100">
        <f>IFERROR(VLOOKUP(L73,SEMANAS!$B$1:$C$301,2,0),"EXE")</f>
        <v>38</v>
      </c>
      <c r="AI73" s="100">
        <f>IFERROR(VLOOKUP(M73,SEMANAS!$B$1:$C$301,2,0),"EXE")</f>
        <v>39</v>
      </c>
      <c r="AJ73" s="101">
        <f>IF(AI73="EXE",0,Q73)</f>
        <v>2054.0170512625673</v>
      </c>
    </row>
    <row r="74" spans="1:36">
      <c r="A74" t="s">
        <v>120</v>
      </c>
      <c r="B74" t="s">
        <v>71</v>
      </c>
      <c r="D74" t="s">
        <v>31</v>
      </c>
      <c r="E74" t="s">
        <v>16</v>
      </c>
      <c r="F74" s="97" t="str">
        <f t="shared" si="17"/>
        <v>Pintura FinalPAV3</v>
      </c>
      <c r="G74" s="80">
        <v>44796</v>
      </c>
      <c r="H74" s="80">
        <v>44802</v>
      </c>
      <c r="I74" s="105"/>
      <c r="J74" s="81"/>
      <c r="K74" s="81"/>
      <c r="L74" s="139">
        <f>IF(J74&gt;0,"executado",VLOOKUP(F74,REPLAN!$A$6:$C$127,2,0))</f>
        <v>44796</v>
      </c>
      <c r="M74" s="139">
        <f>IF(J74&gt;0,"executado",VLOOKUP(F74,REPLAN!$A$6:$C$127,3,0))</f>
        <v>44802</v>
      </c>
      <c r="N74" s="88">
        <v>614.55999999999995</v>
      </c>
      <c r="O74" s="88" t="s">
        <v>195</v>
      </c>
      <c r="P74" s="89">
        <f>VLOOKUP(B74,'CUSTO ATIVIDADE'!$A$1:$B$30,2,0)</f>
        <v>6</v>
      </c>
      <c r="Q74" s="91">
        <f t="shared" si="14"/>
        <v>3687.3599999999997</v>
      </c>
      <c r="R74" s="88">
        <f>VLOOKUP(G74,SEMANAS!$B$1:$C$301,2,0)</f>
        <v>40</v>
      </c>
      <c r="S74" s="88">
        <f>VLOOKUP(H74,SEMANAS!$B$1:$C$301,2,0)</f>
        <v>41</v>
      </c>
      <c r="T74" s="90">
        <f>VLOOKUP(B74,'MT-MO'!$A$3:$C$31,2,0)</f>
        <v>1</v>
      </c>
      <c r="U74" s="90">
        <f>VLOOKUP(B74,'MT-MO'!$A$3:$C$31,3,0)</f>
        <v>0</v>
      </c>
      <c r="V74" s="92">
        <f t="shared" si="18"/>
        <v>3687.3599999999997</v>
      </c>
      <c r="W74" s="92">
        <f t="shared" si="19"/>
        <v>0</v>
      </c>
      <c r="X74" s="80">
        <f t="shared" si="20"/>
        <v>44781</v>
      </c>
      <c r="Y74" s="80">
        <f t="shared" si="21"/>
        <v>44817</v>
      </c>
      <c r="Z74" s="95" t="s">
        <v>99</v>
      </c>
      <c r="AA74" s="96" t="s">
        <v>364</v>
      </c>
      <c r="AB74" s="96" t="s">
        <v>339</v>
      </c>
      <c r="AC74" s="96" t="s">
        <v>295</v>
      </c>
      <c r="AD74" s="80"/>
      <c r="AE74" s="89">
        <f t="shared" si="15"/>
        <v>0</v>
      </c>
      <c r="AF74" s="145" t="str">
        <f>IFERROR(VLOOKUP(K74,SEMANAS!$B$1:$C$301,2,0),"")</f>
        <v/>
      </c>
      <c r="AG74" s="102">
        <f t="shared" si="16"/>
        <v>0</v>
      </c>
      <c r="AH74" s="100">
        <f>IFERROR(VLOOKUP(L74,SEMANAS!$B$1:$C$301,2,0),"EXE")</f>
        <v>40</v>
      </c>
      <c r="AI74" s="100">
        <f>IFERROR(VLOOKUP(M74,SEMANAS!$B$1:$C$301,2,0),"EXE")</f>
        <v>41</v>
      </c>
      <c r="AJ74" s="101">
        <f>IF(AI74="EXE",0,Q74)</f>
        <v>3687.3599999999997</v>
      </c>
    </row>
    <row r="75" spans="1:36">
      <c r="A75" t="s">
        <v>121</v>
      </c>
      <c r="B75" t="s">
        <v>73</v>
      </c>
      <c r="D75" t="s">
        <v>31</v>
      </c>
      <c r="E75" t="s">
        <v>41</v>
      </c>
      <c r="F75" s="97" t="str">
        <f t="shared" si="17"/>
        <v>Complementação e LimpezaPAV3</v>
      </c>
      <c r="G75" s="80">
        <v>44803</v>
      </c>
      <c r="H75" s="80">
        <v>44805</v>
      </c>
      <c r="I75" s="105"/>
      <c r="J75" s="81"/>
      <c r="K75" s="81"/>
      <c r="L75" s="139">
        <f>IF(J75&gt;0,"executado",VLOOKUP(F75,REPLAN!$A$6:$C$127,2,0))</f>
        <v>44805</v>
      </c>
      <c r="M75" s="139">
        <f>IF(J75&gt;0,"executado",VLOOKUP(F75,REPLAN!$A$6:$C$127,3,0))</f>
        <v>44809</v>
      </c>
      <c r="N75" s="88">
        <v>0.25</v>
      </c>
      <c r="O75" s="88" t="s">
        <v>197</v>
      </c>
      <c r="P75" s="89">
        <f>VLOOKUP(B75,'CUSTO ATIVIDADE'!$A$1:$B$30,2,0)</f>
        <v>2000</v>
      </c>
      <c r="Q75" s="91">
        <f t="shared" si="14"/>
        <v>500</v>
      </c>
      <c r="R75" s="88">
        <f>VLOOKUP(G75,SEMANAS!$B$1:$C$301,2,0)</f>
        <v>41</v>
      </c>
      <c r="S75" s="88">
        <f>VLOOKUP(H75,SEMANAS!$B$1:$C$301,2,0)</f>
        <v>41</v>
      </c>
      <c r="T75" s="90">
        <f>VLOOKUP(B75,'MT-MO'!$A$3:$C$31,2,0)</f>
        <v>1</v>
      </c>
      <c r="U75" s="90">
        <f>VLOOKUP(B75,'MT-MO'!$A$3:$C$31,3,0)</f>
        <v>0</v>
      </c>
      <c r="V75" s="92">
        <f t="shared" si="18"/>
        <v>500</v>
      </c>
      <c r="W75" s="92">
        <f t="shared" si="19"/>
        <v>0</v>
      </c>
      <c r="X75" s="80">
        <f t="shared" si="20"/>
        <v>44788</v>
      </c>
      <c r="Y75" s="80">
        <f t="shared" si="21"/>
        <v>44820</v>
      </c>
      <c r="Z75" s="95" t="s">
        <v>99</v>
      </c>
      <c r="AA75" s="96" t="s">
        <v>364</v>
      </c>
      <c r="AB75" s="96" t="s">
        <v>340</v>
      </c>
      <c r="AC75" s="96" t="s">
        <v>295</v>
      </c>
      <c r="AD75" s="80"/>
      <c r="AE75" s="89">
        <f t="shared" si="15"/>
        <v>0</v>
      </c>
      <c r="AF75" s="145" t="str">
        <f>IFERROR(VLOOKUP(K75,SEMANAS!$B$1:$C$301,2,0),"")</f>
        <v/>
      </c>
      <c r="AG75" s="102">
        <f t="shared" si="16"/>
        <v>0</v>
      </c>
      <c r="AH75" s="100">
        <f>IFERROR(VLOOKUP(L75,SEMANAS!$B$1:$C$301,2,0),"EXE")</f>
        <v>41</v>
      </c>
      <c r="AI75" s="100">
        <f>IFERROR(VLOOKUP(M75,SEMANAS!$B$1:$C$301,2,0),"EXE")</f>
        <v>42</v>
      </c>
      <c r="AJ75" s="101">
        <f>IF(AI75="EXE",0,Q75)</f>
        <v>500</v>
      </c>
    </row>
    <row r="76" spans="1:36">
      <c r="A76" s="108" t="s">
        <v>122</v>
      </c>
      <c r="B76" s="108" t="s">
        <v>123</v>
      </c>
      <c r="C76" s="108"/>
      <c r="D76" s="108"/>
      <c r="E76" s="108" t="s">
        <v>124</v>
      </c>
      <c r="F76" s="108" t="str">
        <f t="shared" si="17"/>
        <v>PAV4</v>
      </c>
      <c r="G76" s="109">
        <v>44607</v>
      </c>
      <c r="H76" s="109">
        <v>44813</v>
      </c>
      <c r="I76" s="110"/>
      <c r="J76" s="111"/>
      <c r="K76" s="111"/>
      <c r="L76" s="140"/>
      <c r="M76" s="108"/>
      <c r="N76" s="111" t="s">
        <v>9</v>
      </c>
      <c r="O76" s="111"/>
      <c r="P76" s="112"/>
      <c r="Q76" s="111"/>
      <c r="R76" s="111">
        <f>VLOOKUP(G76,SEMANAS!$B$1:$C$301,2,0)</f>
        <v>13</v>
      </c>
      <c r="S76" s="111">
        <f>VLOOKUP(H76,SEMANAS!$B$1:$C$301,2,0)</f>
        <v>42</v>
      </c>
      <c r="T76" s="110"/>
      <c r="U76" s="110"/>
      <c r="V76" s="113">
        <f t="shared" si="18"/>
        <v>0</v>
      </c>
      <c r="W76" s="113">
        <f t="shared" si="19"/>
        <v>0</v>
      </c>
      <c r="X76" s="109">
        <f t="shared" si="20"/>
        <v>44592</v>
      </c>
      <c r="Y76" s="109">
        <f t="shared" si="21"/>
        <v>44828</v>
      </c>
      <c r="Z76" s="106"/>
      <c r="AA76" s="107" t="s">
        <v>9</v>
      </c>
      <c r="AB76" s="107"/>
      <c r="AC76" s="107"/>
      <c r="AD76" s="110"/>
      <c r="AE76" s="109"/>
      <c r="AF76" s="144"/>
      <c r="AG76" s="114"/>
      <c r="AH76" s="111"/>
      <c r="AI76" s="111"/>
      <c r="AJ76" s="115"/>
    </row>
    <row r="77" spans="1:36" hidden="1">
      <c r="A77" t="s">
        <v>125</v>
      </c>
      <c r="B77" t="s">
        <v>30</v>
      </c>
      <c r="D77" t="s">
        <v>31</v>
      </c>
      <c r="E77" t="s">
        <v>16</v>
      </c>
      <c r="F77" s="97" t="str">
        <f t="shared" si="17"/>
        <v>Alvenaria EstruturalPAV4</v>
      </c>
      <c r="G77" s="80">
        <v>44607</v>
      </c>
      <c r="H77" s="80">
        <v>44613</v>
      </c>
      <c r="I77" s="105">
        <v>1</v>
      </c>
      <c r="J77" s="116">
        <v>44621</v>
      </c>
      <c r="K77" s="116">
        <v>44627</v>
      </c>
      <c r="L77" s="139" t="str">
        <f>IF(J77&gt;0,"executado",VLOOKUP(F77,REPLAN!$A$6:$C$127,2,0))</f>
        <v>executado</v>
      </c>
      <c r="M77" s="139" t="str">
        <f>IF(J77&gt;0,"executado",VLOOKUP(F77,REPLAN!$A$6:$C$127,3,0))</f>
        <v>executado</v>
      </c>
      <c r="N77" s="88">
        <v>390.7</v>
      </c>
      <c r="O77" s="88" t="s">
        <v>195</v>
      </c>
      <c r="P77" s="89">
        <f>VLOOKUP(B77,'CUSTO ATIVIDADE'!$A$1:$B$30,2,0)</f>
        <v>247.89395397660905</v>
      </c>
      <c r="Q77" s="91">
        <f t="shared" ref="Q77:Q97" si="22">P77*N77</f>
        <v>96852.167818661153</v>
      </c>
      <c r="R77" s="88">
        <f>VLOOKUP(G77,SEMANAS!$B$1:$C$301,2,0)</f>
        <v>13</v>
      </c>
      <c r="S77" s="88">
        <f>VLOOKUP(H77,SEMANAS!$B$1:$C$301,2,0)</f>
        <v>14</v>
      </c>
      <c r="T77" s="90">
        <f>VLOOKUP(B77,'MT-MO'!$A$3:$C$31,2,0)</f>
        <v>0.13858702989570013</v>
      </c>
      <c r="U77" s="90">
        <f>VLOOKUP(B77,'MT-MO'!$A$3:$C$31,3,0)</f>
        <v>0.86141297010429985</v>
      </c>
      <c r="V77" s="92">
        <f t="shared" si="18"/>
        <v>13422.45427694816</v>
      </c>
      <c r="W77" s="92">
        <f t="shared" si="19"/>
        <v>83429.71354171299</v>
      </c>
      <c r="X77" s="80">
        <f t="shared" si="20"/>
        <v>44592</v>
      </c>
      <c r="Y77" s="80">
        <f t="shared" si="21"/>
        <v>44628</v>
      </c>
      <c r="Z77" s="95" t="s">
        <v>123</v>
      </c>
      <c r="AA77" s="96" t="s">
        <v>373</v>
      </c>
      <c r="AB77" s="96" t="s">
        <v>305</v>
      </c>
      <c r="AC77" s="96" t="s">
        <v>295</v>
      </c>
      <c r="AD77" s="90">
        <v>1</v>
      </c>
      <c r="AE77" s="89">
        <f t="shared" ref="AE77:AE97" si="23">AD77*Q77</f>
        <v>96852.167818661153</v>
      </c>
      <c r="AF77" s="145">
        <f>IFERROR(VLOOKUP(K77,SEMANAS!$B$1:$C$301,2,0),"")</f>
        <v>16</v>
      </c>
      <c r="AG77" s="102">
        <f t="shared" ref="AG77:AG97" si="24">Q77*I77</f>
        <v>96852.167818661153</v>
      </c>
      <c r="AH77" s="100" t="str">
        <f>IFERROR(VLOOKUP(L77,SEMANAS!$B$1:$C$301,2,0),"EXE")</f>
        <v>EXE</v>
      </c>
      <c r="AI77" s="100" t="str">
        <f>IFERROR(VLOOKUP(M77,SEMANAS!$B$1:$C$301,2,0),"EXE")</f>
        <v>EXE</v>
      </c>
      <c r="AJ77" s="101">
        <f>IF(AI77="EXE",0,Q77)</f>
        <v>0</v>
      </c>
    </row>
    <row r="78" spans="1:36" hidden="1">
      <c r="A78" t="s">
        <v>126</v>
      </c>
      <c r="B78" t="s">
        <v>33</v>
      </c>
      <c r="C78" t="s">
        <v>34</v>
      </c>
      <c r="D78" t="s">
        <v>31</v>
      </c>
      <c r="E78" t="s">
        <v>16</v>
      </c>
      <c r="F78" s="97" t="str">
        <f t="shared" si="17"/>
        <v>Estrutura Moldado in LocoPAV4</v>
      </c>
      <c r="G78" s="80">
        <v>44614</v>
      </c>
      <c r="H78" s="80">
        <v>44620</v>
      </c>
      <c r="I78" s="105">
        <v>1</v>
      </c>
      <c r="J78" s="116">
        <v>44628</v>
      </c>
      <c r="K78" s="116">
        <f>J78+4</f>
        <v>44632</v>
      </c>
      <c r="L78" s="139" t="str">
        <f>IF(J78&gt;0,"executado",VLOOKUP(F78,REPLAN!$A$6:$C$127,2,0))</f>
        <v>executado</v>
      </c>
      <c r="M78" s="139" t="str">
        <f>IF(J78&gt;0,"executado",VLOOKUP(F78,REPLAN!$A$6:$C$127,3,0))</f>
        <v>executado</v>
      </c>
      <c r="N78" s="88">
        <v>26.73</v>
      </c>
      <c r="O78" s="88" t="s">
        <v>196</v>
      </c>
      <c r="P78" s="89">
        <f>VLOOKUP(B78,'CUSTO ATIVIDADE'!$A$1:$B$30,2,0)</f>
        <v>2550.8020330415566</v>
      </c>
      <c r="Q78" s="91">
        <f t="shared" si="22"/>
        <v>68182.938343200804</v>
      </c>
      <c r="R78" s="88">
        <f>VLOOKUP(G78,SEMANAS!$B$1:$C$301,2,0)</f>
        <v>14</v>
      </c>
      <c r="S78" s="88">
        <f>VLOOKUP(H78,SEMANAS!$B$1:$C$301,2,0)</f>
        <v>15</v>
      </c>
      <c r="T78" s="90">
        <f>VLOOKUP(B78,'MT-MO'!$A$3:$C$31,2,0)</f>
        <v>0.38396280966583479</v>
      </c>
      <c r="U78" s="90">
        <f>VLOOKUP(B78,'MT-MO'!$A$3:$C$31,3,0)</f>
        <v>0.61603719033416515</v>
      </c>
      <c r="V78" s="92">
        <f t="shared" si="18"/>
        <v>26179.71257752776</v>
      </c>
      <c r="W78" s="92">
        <f t="shared" si="19"/>
        <v>42003.225765673043</v>
      </c>
      <c r="X78" s="80">
        <f t="shared" si="20"/>
        <v>44599</v>
      </c>
      <c r="Y78" s="80">
        <f t="shared" si="21"/>
        <v>44635</v>
      </c>
      <c r="Z78" s="95" t="s">
        <v>123</v>
      </c>
      <c r="AA78" s="96" t="s">
        <v>374</v>
      </c>
      <c r="AB78" s="96" t="s">
        <v>307</v>
      </c>
      <c r="AC78" s="96" t="s">
        <v>295</v>
      </c>
      <c r="AD78" s="90">
        <v>1</v>
      </c>
      <c r="AE78" s="89">
        <f t="shared" si="23"/>
        <v>68182.938343200804</v>
      </c>
      <c r="AF78" s="145">
        <f>IFERROR(VLOOKUP(K78,SEMANAS!$B$1:$C$301,2,0),"")</f>
        <v>16</v>
      </c>
      <c r="AG78" s="102">
        <f t="shared" si="24"/>
        <v>68182.938343200804</v>
      </c>
      <c r="AH78" s="100" t="str">
        <f>IFERROR(VLOOKUP(L78,SEMANAS!$B$1:$C$301,2,0),"EXE")</f>
        <v>EXE</v>
      </c>
      <c r="AI78" s="100" t="str">
        <f>IFERROR(VLOOKUP(M78,SEMANAS!$B$1:$C$301,2,0),"EXE")</f>
        <v>EXE</v>
      </c>
      <c r="AJ78" s="101">
        <f>IF(AI78="EXE",0,Q78)</f>
        <v>0</v>
      </c>
    </row>
    <row r="79" spans="1:36" hidden="1">
      <c r="A79" t="s">
        <v>127</v>
      </c>
      <c r="B79" t="s">
        <v>36</v>
      </c>
      <c r="D79" t="s">
        <v>31</v>
      </c>
      <c r="E79" t="s">
        <v>16</v>
      </c>
      <c r="F79" s="97" t="str">
        <f t="shared" si="17"/>
        <v>Instalações HidrossanitáriasPAV4</v>
      </c>
      <c r="G79" s="80">
        <v>44628</v>
      </c>
      <c r="H79" s="80">
        <v>44634</v>
      </c>
      <c r="I79" s="105">
        <v>1</v>
      </c>
      <c r="J79" s="116"/>
      <c r="K79" s="81"/>
      <c r="L79" s="139">
        <f>IF(J79&gt;0,"executado",VLOOKUP(F79,REPLAN!$A$6:$C$127,2,0))</f>
        <v>44635</v>
      </c>
      <c r="M79" s="139">
        <v>44641</v>
      </c>
      <c r="N79" s="88">
        <v>1</v>
      </c>
      <c r="O79" s="88" t="s">
        <v>198</v>
      </c>
      <c r="P79" s="89">
        <f>VLOOKUP(B79,'CUSTO ATIVIDADE'!$A$1:$B$30,2,0)</f>
        <v>13455.889210118192</v>
      </c>
      <c r="Q79" s="91">
        <f t="shared" si="22"/>
        <v>13455.889210118192</v>
      </c>
      <c r="R79" s="88">
        <f>VLOOKUP(G79,SEMANAS!$B$1:$C$301,2,0)</f>
        <v>16</v>
      </c>
      <c r="S79" s="88">
        <f>VLOOKUP(H79,SEMANAS!$B$1:$C$301,2,0)</f>
        <v>17</v>
      </c>
      <c r="T79" s="90">
        <f>VLOOKUP(B79,'MT-MO'!$A$3:$C$31,2,0)</f>
        <v>0.35672482024413354</v>
      </c>
      <c r="U79" s="90">
        <f>VLOOKUP(B79,'MT-MO'!$A$3:$C$31,3,0)</f>
        <v>0.64327517975586646</v>
      </c>
      <c r="V79" s="92">
        <f t="shared" si="18"/>
        <v>4800.0496597043884</v>
      </c>
      <c r="W79" s="92">
        <f t="shared" si="19"/>
        <v>8655.8395504138043</v>
      </c>
      <c r="X79" s="80">
        <f t="shared" si="20"/>
        <v>44613</v>
      </c>
      <c r="Y79" s="80">
        <f t="shared" si="21"/>
        <v>44649</v>
      </c>
      <c r="Z79" s="95" t="s">
        <v>123</v>
      </c>
      <c r="AA79" s="96" t="s">
        <v>375</v>
      </c>
      <c r="AB79" s="96" t="s">
        <v>309</v>
      </c>
      <c r="AC79" s="96" t="s">
        <v>295</v>
      </c>
      <c r="AD79" s="90">
        <v>1</v>
      </c>
      <c r="AE79" s="89">
        <f t="shared" si="23"/>
        <v>13455.889210118192</v>
      </c>
      <c r="AF79" s="145" t="str">
        <f>IFERROR(VLOOKUP(K79,SEMANAS!$B$1:$C$301,2,0),"")</f>
        <v/>
      </c>
      <c r="AG79" s="102">
        <f t="shared" si="24"/>
        <v>13455.889210118192</v>
      </c>
      <c r="AH79" s="100">
        <f>IFERROR(VLOOKUP(L79,SEMANAS!$B$1:$C$301,2,0),"EXE")</f>
        <v>17</v>
      </c>
      <c r="AI79" s="100">
        <f>IFERROR(VLOOKUP(M79,SEMANAS!$B$1:$C$301,2,0),"EXE")</f>
        <v>18</v>
      </c>
      <c r="AJ79" s="101">
        <f>IF(AI79="EXE",0,Q79)</f>
        <v>13455.889210118192</v>
      </c>
    </row>
    <row r="80" spans="1:36">
      <c r="A80" t="s">
        <v>128</v>
      </c>
      <c r="B80" t="s">
        <v>38</v>
      </c>
      <c r="D80" t="s">
        <v>31</v>
      </c>
      <c r="E80" t="s">
        <v>16</v>
      </c>
      <c r="F80" s="97" t="str">
        <f t="shared" si="17"/>
        <v>Reboco InternoPAV4</v>
      </c>
      <c r="G80" s="80">
        <v>44642</v>
      </c>
      <c r="H80" s="80">
        <v>44648</v>
      </c>
      <c r="I80" s="105"/>
      <c r="J80" s="81"/>
      <c r="K80" s="81"/>
      <c r="L80" s="139">
        <f>IF(J80&gt;0,"executado",VLOOKUP(F80,REPLAN!$A$6:$C$127,2,0))</f>
        <v>44648</v>
      </c>
      <c r="M80" s="139">
        <f>IF(J80&gt;0,"executado",VLOOKUP(F80,REPLAN!$A$6:$C$127,3,0))</f>
        <v>44652</v>
      </c>
      <c r="N80" s="88">
        <v>140.59</v>
      </c>
      <c r="O80" s="88" t="s">
        <v>195</v>
      </c>
      <c r="P80" s="89">
        <f>VLOOKUP(B80,'CUSTO ATIVIDADE'!$A$1:$B$30,2,0)</f>
        <v>7</v>
      </c>
      <c r="Q80" s="91">
        <f t="shared" si="22"/>
        <v>984.13</v>
      </c>
      <c r="R80" s="88">
        <f>VLOOKUP(G80,SEMANAS!$B$1:$C$301,2,0)</f>
        <v>18</v>
      </c>
      <c r="S80" s="88">
        <f>VLOOKUP(H80,SEMANAS!$B$1:$C$301,2,0)</f>
        <v>19</v>
      </c>
      <c r="T80" s="90">
        <f>VLOOKUP(B80,'MT-MO'!$A$3:$C$31,2,0)</f>
        <v>0.26486813778256191</v>
      </c>
      <c r="U80" s="90">
        <f>VLOOKUP(B80,'MT-MO'!$A$3:$C$31,3,0)</f>
        <v>0.73513186221743809</v>
      </c>
      <c r="V80" s="92">
        <f t="shared" si="18"/>
        <v>260.66468043595268</v>
      </c>
      <c r="W80" s="92">
        <f t="shared" si="19"/>
        <v>723.46531956404738</v>
      </c>
      <c r="X80" s="80">
        <f t="shared" si="20"/>
        <v>44627</v>
      </c>
      <c r="Y80" s="80">
        <f t="shared" si="21"/>
        <v>44663</v>
      </c>
      <c r="Z80" s="95" t="s">
        <v>123</v>
      </c>
      <c r="AA80" s="96" t="s">
        <v>376</v>
      </c>
      <c r="AB80" s="96" t="s">
        <v>311</v>
      </c>
      <c r="AC80" s="96" t="s">
        <v>295</v>
      </c>
      <c r="AD80" s="80"/>
      <c r="AE80" s="89">
        <f t="shared" si="23"/>
        <v>0</v>
      </c>
      <c r="AF80" s="145" t="str">
        <f>IFERROR(VLOOKUP(K80,SEMANAS!$B$1:$C$301,2,0),"")</f>
        <v/>
      </c>
      <c r="AG80" s="102">
        <f t="shared" si="24"/>
        <v>0</v>
      </c>
      <c r="AH80" s="100">
        <f>IFERROR(VLOOKUP(L80,SEMANAS!$B$1:$C$301,2,0),"EXE")</f>
        <v>19</v>
      </c>
      <c r="AI80" s="100">
        <f>IFERROR(VLOOKUP(M80,SEMANAS!$B$1:$C$301,2,0),"EXE")</f>
        <v>19</v>
      </c>
      <c r="AJ80" s="101">
        <f>IF(AI80="EXE",0,Q80)</f>
        <v>984.13</v>
      </c>
    </row>
    <row r="81" spans="1:36">
      <c r="A81" t="s">
        <v>129</v>
      </c>
      <c r="B81" t="s">
        <v>40</v>
      </c>
      <c r="D81" t="s">
        <v>31</v>
      </c>
      <c r="E81" t="s">
        <v>41</v>
      </c>
      <c r="F81" s="97" t="str">
        <f t="shared" si="17"/>
        <v>Shaft PAV4</v>
      </c>
      <c r="G81" s="80">
        <v>44658</v>
      </c>
      <c r="H81" s="80">
        <v>44662</v>
      </c>
      <c r="I81" s="105"/>
      <c r="J81" s="81"/>
      <c r="K81" s="81"/>
      <c r="L81" s="139">
        <f>IF(J81&gt;0,"executado",VLOOKUP(F81,REPLAN!$A$6:$C$127,2,0))</f>
        <v>44664</v>
      </c>
      <c r="M81" s="139">
        <f>IF(J81&gt;0,"executado",VLOOKUP(F81,REPLAN!$A$6:$C$127,3,0))</f>
        <v>44666</v>
      </c>
      <c r="N81" s="88">
        <v>10.69</v>
      </c>
      <c r="O81" s="88" t="s">
        <v>195</v>
      </c>
      <c r="P81" s="89">
        <f>VLOOKUP(B81,'CUSTO ATIVIDADE'!$A$1:$B$30,2,0)</f>
        <v>295.46807160325829</v>
      </c>
      <c r="Q81" s="91">
        <f t="shared" si="22"/>
        <v>3158.5536854388311</v>
      </c>
      <c r="R81" s="88">
        <f>VLOOKUP(G81,SEMANAS!$B$1:$C$301,2,0)</f>
        <v>20</v>
      </c>
      <c r="S81" s="88">
        <f>VLOOKUP(H81,SEMANAS!$B$1:$C$301,2,0)</f>
        <v>21</v>
      </c>
      <c r="T81" s="90">
        <f>VLOOKUP(B81,'MT-MO'!$A$3:$C$31,2,0)</f>
        <v>0.62478082992402106</v>
      </c>
      <c r="U81" s="90">
        <f>VLOOKUP(B81,'MT-MO'!$A$3:$C$31,3,0)</f>
        <v>0.37521917007597894</v>
      </c>
      <c r="V81" s="92">
        <f t="shared" si="18"/>
        <v>1973.4037929480482</v>
      </c>
      <c r="W81" s="92">
        <f t="shared" si="19"/>
        <v>1185.1498924907828</v>
      </c>
      <c r="X81" s="80">
        <f t="shared" si="20"/>
        <v>44643</v>
      </c>
      <c r="Y81" s="80">
        <f t="shared" si="21"/>
        <v>44677</v>
      </c>
      <c r="Z81" s="95" t="s">
        <v>123</v>
      </c>
      <c r="AA81" s="96" t="s">
        <v>377</v>
      </c>
      <c r="AB81" s="96" t="s">
        <v>313</v>
      </c>
      <c r="AC81" s="96" t="s">
        <v>295</v>
      </c>
      <c r="AD81" s="80"/>
      <c r="AE81" s="89">
        <f t="shared" si="23"/>
        <v>0</v>
      </c>
      <c r="AF81" s="145" t="str">
        <f>IFERROR(VLOOKUP(K81,SEMANAS!$B$1:$C$301,2,0),"")</f>
        <v/>
      </c>
      <c r="AG81" s="102">
        <f t="shared" si="24"/>
        <v>0</v>
      </c>
      <c r="AH81" s="100">
        <f>IFERROR(VLOOKUP(L81,SEMANAS!$B$1:$C$301,2,0),"EXE")</f>
        <v>21</v>
      </c>
      <c r="AI81" s="100">
        <f>IFERROR(VLOOKUP(M81,SEMANAS!$B$1:$C$301,2,0),"EXE")</f>
        <v>21</v>
      </c>
      <c r="AJ81" s="101">
        <f>IF(AI81="EXE",0,Q81)</f>
        <v>3158.5536854388311</v>
      </c>
    </row>
    <row r="82" spans="1:36">
      <c r="A82" t="s">
        <v>130</v>
      </c>
      <c r="B82" t="s">
        <v>43</v>
      </c>
      <c r="D82" t="s">
        <v>31</v>
      </c>
      <c r="E82" t="s">
        <v>16</v>
      </c>
      <c r="F82" s="97" t="str">
        <f t="shared" si="17"/>
        <v>ImpermeabilizaçãoPAV4</v>
      </c>
      <c r="G82" s="80">
        <v>44672</v>
      </c>
      <c r="H82" s="80">
        <v>44679</v>
      </c>
      <c r="I82" s="105"/>
      <c r="J82" s="81"/>
      <c r="K82" s="81"/>
      <c r="L82" s="139">
        <f>IF(J82&gt;0,"executado",VLOOKUP(F82,REPLAN!$A$6:$C$127,2,0))</f>
        <v>44678</v>
      </c>
      <c r="M82" s="139">
        <f>IF(J82&gt;0,"executado",VLOOKUP(F82,REPLAN!$A$6:$C$127,3,0))</f>
        <v>44685</v>
      </c>
      <c r="N82" s="88">
        <v>6.08</v>
      </c>
      <c r="O82" s="88" t="s">
        <v>195</v>
      </c>
      <c r="P82" s="89">
        <f>VLOOKUP(B82,'CUSTO ATIVIDADE'!$A$1:$B$30,2,0)</f>
        <v>39.299999999999997</v>
      </c>
      <c r="Q82" s="91">
        <f t="shared" si="22"/>
        <v>238.94399999999999</v>
      </c>
      <c r="R82" s="88">
        <f>VLOOKUP(G82,SEMANAS!$B$1:$C$301,2,0)</f>
        <v>22</v>
      </c>
      <c r="S82" s="88">
        <f>VLOOKUP(H82,SEMANAS!$B$1:$C$301,2,0)</f>
        <v>23</v>
      </c>
      <c r="T82" s="90">
        <f>VLOOKUP(B82,'MT-MO'!$A$3:$C$31,2,0)</f>
        <v>0.45815899581589958</v>
      </c>
      <c r="U82" s="90">
        <f>VLOOKUP(B82,'MT-MO'!$A$3:$C$31,3,0)</f>
        <v>0.54184100418410042</v>
      </c>
      <c r="V82" s="92">
        <f t="shared" si="18"/>
        <v>109.47434309623431</v>
      </c>
      <c r="W82" s="92">
        <f t="shared" si="19"/>
        <v>129.4696569037657</v>
      </c>
      <c r="X82" s="80">
        <f t="shared" si="20"/>
        <v>44657</v>
      </c>
      <c r="Y82" s="80">
        <f t="shared" si="21"/>
        <v>44694</v>
      </c>
      <c r="Z82" s="95" t="s">
        <v>123</v>
      </c>
      <c r="AA82" s="96" t="s">
        <v>378</v>
      </c>
      <c r="AB82" s="96" t="s">
        <v>315</v>
      </c>
      <c r="AC82" s="96" t="s">
        <v>295</v>
      </c>
      <c r="AD82" s="80"/>
      <c r="AE82" s="89">
        <f t="shared" si="23"/>
        <v>0</v>
      </c>
      <c r="AF82" s="145" t="str">
        <f>IFERROR(VLOOKUP(K82,SEMANAS!$B$1:$C$301,2,0),"")</f>
        <v/>
      </c>
      <c r="AG82" s="102">
        <f t="shared" si="24"/>
        <v>0</v>
      </c>
      <c r="AH82" s="100">
        <f>IFERROR(VLOOKUP(L82,SEMANAS!$B$1:$C$301,2,0),"EXE")</f>
        <v>23</v>
      </c>
      <c r="AI82" s="100">
        <f>IFERROR(VLOOKUP(M82,SEMANAS!$B$1:$C$301,2,0),"EXE")</f>
        <v>24</v>
      </c>
      <c r="AJ82" s="101">
        <f>IF(AI82="EXE",0,Q82)</f>
        <v>238.94399999999999</v>
      </c>
    </row>
    <row r="83" spans="1:36">
      <c r="A83" t="s">
        <v>131</v>
      </c>
      <c r="B83" t="s">
        <v>45</v>
      </c>
      <c r="D83" t="s">
        <v>31</v>
      </c>
      <c r="E83" t="s">
        <v>16</v>
      </c>
      <c r="F83" s="97" t="str">
        <f t="shared" si="17"/>
        <v>CerâmicaPAV4</v>
      </c>
      <c r="G83" s="80">
        <v>44686</v>
      </c>
      <c r="H83" s="80">
        <v>44693</v>
      </c>
      <c r="I83" s="105"/>
      <c r="J83" s="81"/>
      <c r="K83" s="81"/>
      <c r="L83" s="139">
        <f>IF(J83&gt;0,"executado",VLOOKUP(F83,REPLAN!$A$6:$C$127,2,0))</f>
        <v>44692</v>
      </c>
      <c r="M83" s="139">
        <f>IF(J83&gt;0,"executado",VLOOKUP(F83,REPLAN!$A$6:$C$127,3,0))</f>
        <v>44699</v>
      </c>
      <c r="N83" s="88">
        <v>86.26</v>
      </c>
      <c r="O83" s="88" t="s">
        <v>195</v>
      </c>
      <c r="P83" s="89">
        <f>VLOOKUP(B83,'CUSTO ATIVIDADE'!$A$1:$B$30,2,0)</f>
        <v>236.90944856477213</v>
      </c>
      <c r="Q83" s="91">
        <f t="shared" si="22"/>
        <v>20435.809033197245</v>
      </c>
      <c r="R83" s="88">
        <f>VLOOKUP(G83,SEMANAS!$B$1:$C$301,2,0)</f>
        <v>24</v>
      </c>
      <c r="S83" s="88">
        <f>VLOOKUP(H83,SEMANAS!$B$1:$C$301,2,0)</f>
        <v>25</v>
      </c>
      <c r="T83" s="90">
        <f>VLOOKUP(B83,'MT-MO'!$A$3:$C$31,2,0)</f>
        <v>0.57761004134961225</v>
      </c>
      <c r="U83" s="90">
        <f>VLOOKUP(B83,'MT-MO'!$A$3:$C$31,3,0)</f>
        <v>0.42238995865038781</v>
      </c>
      <c r="V83" s="92">
        <f t="shared" si="18"/>
        <v>11803.928500677841</v>
      </c>
      <c r="W83" s="92">
        <f t="shared" si="19"/>
        <v>8631.8805325194062</v>
      </c>
      <c r="X83" s="80">
        <f t="shared" si="20"/>
        <v>44671</v>
      </c>
      <c r="Y83" s="80">
        <f t="shared" si="21"/>
        <v>44708</v>
      </c>
      <c r="Z83" s="95" t="s">
        <v>123</v>
      </c>
      <c r="AA83" s="96" t="s">
        <v>379</v>
      </c>
      <c r="AB83" s="96" t="s">
        <v>317</v>
      </c>
      <c r="AC83" s="96" t="s">
        <v>295</v>
      </c>
      <c r="AD83" s="80"/>
      <c r="AE83" s="89">
        <f t="shared" si="23"/>
        <v>0</v>
      </c>
      <c r="AF83" s="145" t="str">
        <f>IFERROR(VLOOKUP(K83,SEMANAS!$B$1:$C$301,2,0),"")</f>
        <v/>
      </c>
      <c r="AG83" s="102">
        <f t="shared" si="24"/>
        <v>0</v>
      </c>
      <c r="AH83" s="100">
        <f>IFERROR(VLOOKUP(L83,SEMANAS!$B$1:$C$301,2,0),"EXE")</f>
        <v>25</v>
      </c>
      <c r="AI83" s="100">
        <f>IFERROR(VLOOKUP(M83,SEMANAS!$B$1:$C$301,2,0),"EXE")</f>
        <v>26</v>
      </c>
      <c r="AJ83" s="101">
        <f>IF(AI83="EXE",0,Q83)</f>
        <v>20435.809033197245</v>
      </c>
    </row>
    <row r="84" spans="1:36">
      <c r="A84" t="s">
        <v>132</v>
      </c>
      <c r="B84" t="s">
        <v>47</v>
      </c>
      <c r="D84" t="s">
        <v>31</v>
      </c>
      <c r="E84" t="s">
        <v>16</v>
      </c>
      <c r="F84" s="97" t="str">
        <f t="shared" si="17"/>
        <v>Gesso LisoPAV4</v>
      </c>
      <c r="G84" s="80">
        <v>44700</v>
      </c>
      <c r="H84" s="80">
        <v>44707</v>
      </c>
      <c r="I84" s="105"/>
      <c r="J84" s="81"/>
      <c r="K84" s="81"/>
      <c r="L84" s="139">
        <f>IF(J84&gt;0,"executado",VLOOKUP(F84,REPLAN!$A$6:$C$127,2,0))</f>
        <v>44706</v>
      </c>
      <c r="M84" s="139">
        <f>IF(J84&gt;0,"executado",VLOOKUP(F84,REPLAN!$A$6:$C$127,3,0))</f>
        <v>44713</v>
      </c>
      <c r="N84" s="88">
        <v>447.45</v>
      </c>
      <c r="O84" s="88" t="s">
        <v>195</v>
      </c>
      <c r="P84" s="89">
        <f>VLOOKUP(B84,'CUSTO ATIVIDADE'!$A$1:$B$30,2,0)</f>
        <v>15.222400000000006</v>
      </c>
      <c r="Q84" s="91">
        <f t="shared" si="22"/>
        <v>6811.262880000002</v>
      </c>
      <c r="R84" s="88">
        <f>VLOOKUP(G84,SEMANAS!$B$1:$C$301,2,0)</f>
        <v>26</v>
      </c>
      <c r="S84" s="88">
        <f>VLOOKUP(H84,SEMANAS!$B$1:$C$301,2,0)</f>
        <v>27</v>
      </c>
      <c r="T84" s="90">
        <f>VLOOKUP(B84,'MT-MO'!$A$3:$C$31,2,0)</f>
        <v>0.45986419526518629</v>
      </c>
      <c r="U84" s="90">
        <f>VLOOKUP(B84,'MT-MO'!$A$3:$C$31,3,0)</f>
        <v>0.54013580473481371</v>
      </c>
      <c r="V84" s="92">
        <f t="shared" si="18"/>
        <v>3132.2559230508359</v>
      </c>
      <c r="W84" s="92">
        <f t="shared" si="19"/>
        <v>3679.0069569491661</v>
      </c>
      <c r="X84" s="80">
        <f t="shared" si="20"/>
        <v>44685</v>
      </c>
      <c r="Y84" s="80">
        <f t="shared" si="21"/>
        <v>44722</v>
      </c>
      <c r="Z84" s="95" t="s">
        <v>123</v>
      </c>
      <c r="AA84" s="96" t="s">
        <v>380</v>
      </c>
      <c r="AB84" s="96" t="s">
        <v>319</v>
      </c>
      <c r="AC84" s="96" t="s">
        <v>295</v>
      </c>
      <c r="AD84" s="80"/>
      <c r="AE84" s="89">
        <f t="shared" si="23"/>
        <v>0</v>
      </c>
      <c r="AF84" s="145" t="str">
        <f>IFERROR(VLOOKUP(K84,SEMANAS!$B$1:$C$301,2,0),"")</f>
        <v/>
      </c>
      <c r="AG84" s="102">
        <f t="shared" si="24"/>
        <v>0</v>
      </c>
      <c r="AH84" s="100">
        <f>IFERROR(VLOOKUP(L84,SEMANAS!$B$1:$C$301,2,0),"EXE")</f>
        <v>27</v>
      </c>
      <c r="AI84" s="100">
        <f>IFERROR(VLOOKUP(M84,SEMANAS!$B$1:$C$301,2,0),"EXE")</f>
        <v>28</v>
      </c>
      <c r="AJ84" s="101">
        <f>IF(AI84="EXE",0,Q84)</f>
        <v>6811.262880000002</v>
      </c>
    </row>
    <row r="85" spans="1:36">
      <c r="A85" t="s">
        <v>133</v>
      </c>
      <c r="B85" t="s">
        <v>49</v>
      </c>
      <c r="D85" t="s">
        <v>31</v>
      </c>
      <c r="E85" t="s">
        <v>16</v>
      </c>
      <c r="F85" s="97" t="str">
        <f t="shared" si="17"/>
        <v>Esquadria PAV4</v>
      </c>
      <c r="G85" s="80">
        <v>44721</v>
      </c>
      <c r="H85" s="80">
        <v>44728</v>
      </c>
      <c r="I85" s="105"/>
      <c r="J85" s="81"/>
      <c r="K85" s="81"/>
      <c r="L85" s="139">
        <f>IF(J85&gt;0,"executado",VLOOKUP(F85,REPLAN!$A$6:$C$127,2,0))</f>
        <v>44727</v>
      </c>
      <c r="M85" s="139">
        <f>IF(J85&gt;0,"executado",VLOOKUP(F85,REPLAN!$A$6:$C$127,3,0))</f>
        <v>44734</v>
      </c>
      <c r="N85" s="88">
        <v>21</v>
      </c>
      <c r="O85" s="88" t="s">
        <v>199</v>
      </c>
      <c r="P85" s="89">
        <f>VLOOKUP(B85,'CUSTO ATIVIDADE'!$A$1:$B$30,2,0)</f>
        <v>1261.9047619047619</v>
      </c>
      <c r="Q85" s="91">
        <f t="shared" si="22"/>
        <v>26500</v>
      </c>
      <c r="R85" s="88">
        <f>VLOOKUP(G85,SEMANAS!$B$1:$C$301,2,0)</f>
        <v>29</v>
      </c>
      <c r="S85" s="88">
        <f>VLOOKUP(H85,SEMANAS!$B$1:$C$301,2,0)</f>
        <v>30</v>
      </c>
      <c r="T85" s="90">
        <f>VLOOKUP(B85,'MT-MO'!$A$3:$C$31,2,0)</f>
        <v>0.19811320754716982</v>
      </c>
      <c r="U85" s="90">
        <f>VLOOKUP(B85,'MT-MO'!$A$3:$C$31,3,0)</f>
        <v>0.80188679245283023</v>
      </c>
      <c r="V85" s="92">
        <f t="shared" si="18"/>
        <v>5250</v>
      </c>
      <c r="W85" s="92">
        <f t="shared" si="19"/>
        <v>21250</v>
      </c>
      <c r="X85" s="80">
        <f t="shared" si="20"/>
        <v>44706</v>
      </c>
      <c r="Y85" s="80">
        <f t="shared" si="21"/>
        <v>44743</v>
      </c>
      <c r="Z85" s="95" t="s">
        <v>123</v>
      </c>
      <c r="AA85" s="96" t="s">
        <v>381</v>
      </c>
      <c r="AB85" s="96" t="s">
        <v>321</v>
      </c>
      <c r="AC85" s="96" t="s">
        <v>295</v>
      </c>
      <c r="AD85" s="80"/>
      <c r="AE85" s="89">
        <f t="shared" si="23"/>
        <v>0</v>
      </c>
      <c r="AF85" s="145" t="str">
        <f>IFERROR(VLOOKUP(K85,SEMANAS!$B$1:$C$301,2,0),"")</f>
        <v/>
      </c>
      <c r="AG85" s="102">
        <f t="shared" si="24"/>
        <v>0</v>
      </c>
      <c r="AH85" s="100">
        <f>IFERROR(VLOOKUP(L85,SEMANAS!$B$1:$C$301,2,0),"EXE")</f>
        <v>30</v>
      </c>
      <c r="AI85" s="100">
        <f>IFERROR(VLOOKUP(M85,SEMANAS!$B$1:$C$301,2,0),"EXE")</f>
        <v>31</v>
      </c>
      <c r="AJ85" s="101">
        <f>IF(AI85="EXE",0,Q85)</f>
        <v>26500</v>
      </c>
    </row>
    <row r="86" spans="1:36">
      <c r="A86" t="s">
        <v>134</v>
      </c>
      <c r="B86" t="s">
        <v>51</v>
      </c>
      <c r="D86" t="s">
        <v>31</v>
      </c>
      <c r="E86" t="s">
        <v>16</v>
      </c>
      <c r="F86" s="97" t="str">
        <f t="shared" si="17"/>
        <v>FiaçãoPAV4</v>
      </c>
      <c r="G86" s="80">
        <v>44728</v>
      </c>
      <c r="H86" s="80">
        <v>44735</v>
      </c>
      <c r="I86" s="105"/>
      <c r="J86" s="81"/>
      <c r="K86" s="81"/>
      <c r="L86" s="139">
        <f>IF(J86&gt;0,"executado",VLOOKUP(F86,REPLAN!$A$6:$C$127,2,0))</f>
        <v>44734</v>
      </c>
      <c r="M86" s="139">
        <f>IF(J86&gt;0,"executado",VLOOKUP(F86,REPLAN!$A$6:$C$127,3,0))</f>
        <v>44741</v>
      </c>
      <c r="N86" s="88">
        <v>4</v>
      </c>
      <c r="O86" s="88" t="s">
        <v>200</v>
      </c>
      <c r="P86" s="89">
        <f>VLOOKUP(B86,'CUSTO ATIVIDADE'!$A$1:$B$30,2,0)</f>
        <v>1283.6297966501836</v>
      </c>
      <c r="Q86" s="91">
        <f t="shared" si="22"/>
        <v>5134.5191866007344</v>
      </c>
      <c r="R86" s="88">
        <f>VLOOKUP(G86,SEMANAS!$B$1:$C$301,2,0)</f>
        <v>30</v>
      </c>
      <c r="S86" s="88">
        <f>VLOOKUP(H86,SEMANAS!$B$1:$C$301,2,0)</f>
        <v>31</v>
      </c>
      <c r="T86" s="90">
        <f>VLOOKUP(B86,'MT-MO'!$A$3:$C$31,2,0)</f>
        <v>0.62323497906319991</v>
      </c>
      <c r="U86" s="90">
        <f>VLOOKUP(B86,'MT-MO'!$A$3:$C$31,3,0)</f>
        <v>0.37676502093680009</v>
      </c>
      <c r="V86" s="92">
        <f t="shared" si="18"/>
        <v>3200.011957760707</v>
      </c>
      <c r="W86" s="92">
        <f t="shared" si="19"/>
        <v>1934.5072288400274</v>
      </c>
      <c r="X86" s="80">
        <f t="shared" si="20"/>
        <v>44713</v>
      </c>
      <c r="Y86" s="80">
        <f t="shared" si="21"/>
        <v>44750</v>
      </c>
      <c r="Z86" s="95" t="s">
        <v>123</v>
      </c>
      <c r="AA86" s="96" t="s">
        <v>380</v>
      </c>
      <c r="AB86" s="96" t="s">
        <v>322</v>
      </c>
      <c r="AC86" s="96" t="s">
        <v>295</v>
      </c>
      <c r="AD86" s="80"/>
      <c r="AE86" s="89">
        <f t="shared" si="23"/>
        <v>0</v>
      </c>
      <c r="AF86" s="145" t="str">
        <f>IFERROR(VLOOKUP(K86,SEMANAS!$B$1:$C$301,2,0),"")</f>
        <v/>
      </c>
      <c r="AG86" s="102">
        <f t="shared" si="24"/>
        <v>0</v>
      </c>
      <c r="AH86" s="100">
        <f>IFERROR(VLOOKUP(L86,SEMANAS!$B$1:$C$301,2,0),"EXE")</f>
        <v>31</v>
      </c>
      <c r="AI86" s="100">
        <f>IFERROR(VLOOKUP(M86,SEMANAS!$B$1:$C$301,2,0),"EXE")</f>
        <v>32</v>
      </c>
      <c r="AJ86" s="101">
        <f>IF(AI86="EXE",0,Q86)</f>
        <v>5134.5191866007344</v>
      </c>
    </row>
    <row r="87" spans="1:36">
      <c r="A87" t="s">
        <v>135</v>
      </c>
      <c r="B87" t="s">
        <v>53</v>
      </c>
      <c r="D87" t="s">
        <v>31</v>
      </c>
      <c r="E87" t="s">
        <v>16</v>
      </c>
      <c r="F87" s="97" t="str">
        <f t="shared" si="17"/>
        <v>ForroPAV4</v>
      </c>
      <c r="G87" s="80">
        <v>44742</v>
      </c>
      <c r="H87" s="80">
        <v>44749</v>
      </c>
      <c r="I87" s="105"/>
      <c r="J87" s="81"/>
      <c r="K87" s="81"/>
      <c r="L87" s="139">
        <f>IF(J87&gt;0,"executado",VLOOKUP(F87,REPLAN!$A$6:$C$127,2,0))</f>
        <v>44748</v>
      </c>
      <c r="M87" s="139">
        <f>IF(J87&gt;0,"executado",VLOOKUP(F87,REPLAN!$A$6:$C$127,3,0))</f>
        <v>44755</v>
      </c>
      <c r="N87" s="88">
        <v>29.29</v>
      </c>
      <c r="O87" s="88" t="s">
        <v>195</v>
      </c>
      <c r="P87" s="89">
        <f>VLOOKUP(B87,'CUSTO ATIVIDADE'!$A$1:$B$30,2,0)</f>
        <v>78.445334999999986</v>
      </c>
      <c r="Q87" s="91">
        <f t="shared" si="22"/>
        <v>2297.6638621499997</v>
      </c>
      <c r="R87" s="88">
        <f>VLOOKUP(G87,SEMANAS!$B$1:$C$301,2,0)</f>
        <v>32</v>
      </c>
      <c r="S87" s="88">
        <f>VLOOKUP(H87,SEMANAS!$B$1:$C$301,2,0)</f>
        <v>33</v>
      </c>
      <c r="T87" s="90">
        <f>VLOOKUP(B87,'MT-MO'!$A$3:$C$31,2,0)</f>
        <v>0.31868131868131866</v>
      </c>
      <c r="U87" s="90">
        <f>VLOOKUP(B87,'MT-MO'!$A$3:$C$31,3,0)</f>
        <v>0.68131868131868134</v>
      </c>
      <c r="V87" s="92">
        <f t="shared" si="18"/>
        <v>732.2225494763735</v>
      </c>
      <c r="W87" s="92">
        <f t="shared" si="19"/>
        <v>1565.4413126736263</v>
      </c>
      <c r="X87" s="80">
        <f t="shared" si="20"/>
        <v>44727</v>
      </c>
      <c r="Y87" s="80">
        <f t="shared" si="21"/>
        <v>44764</v>
      </c>
      <c r="Z87" s="95" t="s">
        <v>123</v>
      </c>
      <c r="AA87" s="96" t="s">
        <v>382</v>
      </c>
      <c r="AB87" s="96" t="s">
        <v>324</v>
      </c>
      <c r="AC87" s="96" t="s">
        <v>295</v>
      </c>
      <c r="AD87" s="80"/>
      <c r="AE87" s="89">
        <f t="shared" si="23"/>
        <v>0</v>
      </c>
      <c r="AF87" s="145" t="str">
        <f>IFERROR(VLOOKUP(K87,SEMANAS!$B$1:$C$301,2,0),"")</f>
        <v/>
      </c>
      <c r="AG87" s="102">
        <f t="shared" si="24"/>
        <v>0</v>
      </c>
      <c r="AH87" s="100">
        <f>IFERROR(VLOOKUP(L87,SEMANAS!$B$1:$C$301,2,0),"EXE")</f>
        <v>33</v>
      </c>
      <c r="AI87" s="100">
        <f>IFERROR(VLOOKUP(M87,SEMANAS!$B$1:$C$301,2,0),"EXE")</f>
        <v>34</v>
      </c>
      <c r="AJ87" s="101">
        <f>IF(AI87="EXE",0,Q87)</f>
        <v>2297.6638621499997</v>
      </c>
    </row>
    <row r="88" spans="1:36">
      <c r="A88" t="s">
        <v>136</v>
      </c>
      <c r="B88" t="s">
        <v>55</v>
      </c>
      <c r="D88" t="s">
        <v>31</v>
      </c>
      <c r="E88" t="s">
        <v>41</v>
      </c>
      <c r="F88" s="97" t="str">
        <f t="shared" si="17"/>
        <v>Disjuntores e CDPAV4</v>
      </c>
      <c r="G88" s="80">
        <v>44749</v>
      </c>
      <c r="H88" s="80">
        <v>44753</v>
      </c>
      <c r="I88" s="105"/>
      <c r="J88" s="81"/>
      <c r="K88" s="81"/>
      <c r="L88" s="139">
        <f>IF(J88&gt;0,"executado",VLOOKUP(F88,REPLAN!$A$6:$C$127,2,0))</f>
        <v>44755</v>
      </c>
      <c r="M88" s="139">
        <f>IF(J88&gt;0,"executado",VLOOKUP(F88,REPLAN!$A$6:$C$127,3,0))</f>
        <v>44757</v>
      </c>
      <c r="N88" s="88">
        <v>4</v>
      </c>
      <c r="O88" s="88" t="s">
        <v>200</v>
      </c>
      <c r="P88" s="89">
        <f>VLOOKUP(B88,'CUSTO ATIVIDADE'!$A$1:$B$30,2,0)</f>
        <v>350</v>
      </c>
      <c r="Q88" s="91">
        <f t="shared" si="22"/>
        <v>1400</v>
      </c>
      <c r="R88" s="88">
        <f>VLOOKUP(G88,SEMANAS!$B$1:$C$301,2,0)</f>
        <v>33</v>
      </c>
      <c r="S88" s="88">
        <f>VLOOKUP(H88,SEMANAS!$B$1:$C$301,2,0)</f>
        <v>34</v>
      </c>
      <c r="T88" s="90">
        <f>VLOOKUP(B88,'MT-MO'!$A$3:$C$31,2,0)</f>
        <v>1</v>
      </c>
      <c r="U88" s="90">
        <f>VLOOKUP(B88,'MT-MO'!$A$3:$C$31,3,0)</f>
        <v>0</v>
      </c>
      <c r="V88" s="92">
        <f t="shared" si="18"/>
        <v>1400</v>
      </c>
      <c r="W88" s="92">
        <f t="shared" si="19"/>
        <v>0</v>
      </c>
      <c r="X88" s="80">
        <f t="shared" si="20"/>
        <v>44734</v>
      </c>
      <c r="Y88" s="80">
        <f t="shared" si="21"/>
        <v>44768</v>
      </c>
      <c r="Z88" s="95" t="s">
        <v>123</v>
      </c>
      <c r="AA88" s="96" t="s">
        <v>383</v>
      </c>
      <c r="AB88" s="96" t="s">
        <v>326</v>
      </c>
      <c r="AC88" s="96" t="s">
        <v>295</v>
      </c>
      <c r="AD88" s="80"/>
      <c r="AE88" s="89">
        <f t="shared" si="23"/>
        <v>0</v>
      </c>
      <c r="AF88" s="145" t="str">
        <f>IFERROR(VLOOKUP(K88,SEMANAS!$B$1:$C$301,2,0),"")</f>
        <v/>
      </c>
      <c r="AG88" s="102">
        <f t="shared" si="24"/>
        <v>0</v>
      </c>
      <c r="AH88" s="100">
        <f>IFERROR(VLOOKUP(L88,SEMANAS!$B$1:$C$301,2,0),"EXE")</f>
        <v>34</v>
      </c>
      <c r="AI88" s="100">
        <f>IFERROR(VLOOKUP(M88,SEMANAS!$B$1:$C$301,2,0),"EXE")</f>
        <v>34</v>
      </c>
      <c r="AJ88" s="101">
        <f>IF(AI88="EXE",0,Q88)</f>
        <v>1400</v>
      </c>
    </row>
    <row r="89" spans="1:36">
      <c r="A89" t="s">
        <v>137</v>
      </c>
      <c r="B89" t="s">
        <v>57</v>
      </c>
      <c r="C89" t="s">
        <v>34</v>
      </c>
      <c r="D89" t="s">
        <v>31</v>
      </c>
      <c r="E89" t="s">
        <v>16</v>
      </c>
      <c r="F89" s="97" t="str">
        <f t="shared" si="17"/>
        <v>Rev. da CirculaçãoPAV4</v>
      </c>
      <c r="G89" s="80">
        <v>44749</v>
      </c>
      <c r="H89" s="80">
        <v>44756</v>
      </c>
      <c r="I89" s="105"/>
      <c r="J89" s="81"/>
      <c r="K89" s="81"/>
      <c r="L89" s="139">
        <f>IF(J89&gt;0,"executado",VLOOKUP(F89,REPLAN!$A$6:$C$127,2,0))</f>
        <v>44755</v>
      </c>
      <c r="M89" s="139">
        <f>IF(J89&gt;0,"executado",VLOOKUP(F89,REPLAN!$A$6:$C$127,3,0))</f>
        <v>44762</v>
      </c>
      <c r="N89" s="88">
        <v>22.5</v>
      </c>
      <c r="O89" s="88" t="s">
        <v>195</v>
      </c>
      <c r="P89" s="89">
        <f>VLOOKUP(B89,'CUSTO ATIVIDADE'!$A$1:$B$30,2,0)</f>
        <v>160.77478755454416</v>
      </c>
      <c r="Q89" s="91">
        <f t="shared" si="22"/>
        <v>3617.4327199772438</v>
      </c>
      <c r="R89" s="88">
        <f>VLOOKUP(G89,SEMANAS!$B$1:$C$301,2,0)</f>
        <v>33</v>
      </c>
      <c r="S89" s="88">
        <f>VLOOKUP(H89,SEMANAS!$B$1:$C$301,2,0)</f>
        <v>34</v>
      </c>
      <c r="T89" s="90">
        <f>VLOOKUP(B89,'MT-MO'!$A$3:$C$31,2,0)</f>
        <v>0.28742225293711127</v>
      </c>
      <c r="U89" s="90">
        <f>VLOOKUP(B89,'MT-MO'!$A$3:$C$31,3,0)</f>
        <v>0.71257774706288879</v>
      </c>
      <c r="V89" s="92">
        <f t="shared" si="18"/>
        <v>1039.7306622242818</v>
      </c>
      <c r="W89" s="92">
        <f t="shared" si="19"/>
        <v>2577.7020577529624</v>
      </c>
      <c r="X89" s="80">
        <f t="shared" si="20"/>
        <v>44734</v>
      </c>
      <c r="Y89" s="80">
        <f t="shared" si="21"/>
        <v>44771</v>
      </c>
      <c r="Z89" s="95" t="s">
        <v>123</v>
      </c>
      <c r="AA89" s="96" t="s">
        <v>384</v>
      </c>
      <c r="AB89" s="96" t="s">
        <v>328</v>
      </c>
      <c r="AC89" s="96" t="s">
        <v>295</v>
      </c>
      <c r="AD89" s="80"/>
      <c r="AE89" s="89">
        <f t="shared" si="23"/>
        <v>0</v>
      </c>
      <c r="AF89" s="145" t="str">
        <f>IFERROR(VLOOKUP(K89,SEMANAS!$B$1:$C$301,2,0),"")</f>
        <v/>
      </c>
      <c r="AG89" s="102">
        <f t="shared" si="24"/>
        <v>0</v>
      </c>
      <c r="AH89" s="100">
        <f>IFERROR(VLOOKUP(L89,SEMANAS!$B$1:$C$301,2,0),"EXE")</f>
        <v>34</v>
      </c>
      <c r="AI89" s="100">
        <f>IFERROR(VLOOKUP(M89,SEMANAS!$B$1:$C$301,2,0),"EXE")</f>
        <v>35</v>
      </c>
      <c r="AJ89" s="101">
        <f>IF(AI89="EXE",0,Q89)</f>
        <v>3617.4327199772438</v>
      </c>
    </row>
    <row r="90" spans="1:36">
      <c r="A90" t="s">
        <v>138</v>
      </c>
      <c r="B90" t="s">
        <v>59</v>
      </c>
      <c r="D90" t="s">
        <v>31</v>
      </c>
      <c r="E90" t="s">
        <v>16</v>
      </c>
      <c r="F90" s="97" t="str">
        <f t="shared" si="17"/>
        <v>Pintura Interna - 1ªdmãoPAV4</v>
      </c>
      <c r="G90" s="80">
        <v>44756</v>
      </c>
      <c r="H90" s="80">
        <v>44763</v>
      </c>
      <c r="I90" s="105"/>
      <c r="J90" s="81"/>
      <c r="K90" s="81"/>
      <c r="L90" s="139">
        <f>IF(J90&gt;0,"executado",VLOOKUP(F90,REPLAN!$A$6:$C$127,2,0))</f>
        <v>44762</v>
      </c>
      <c r="M90" s="139">
        <f>IF(J90&gt;0,"executado",VLOOKUP(F90,REPLAN!$A$6:$C$127,3,0))</f>
        <v>44769</v>
      </c>
      <c r="N90" s="88">
        <v>476.74</v>
      </c>
      <c r="O90" s="88" t="s">
        <v>195</v>
      </c>
      <c r="P90" s="89">
        <f>VLOOKUP(B90,'CUSTO ATIVIDADE'!$A$1:$B$30,2,0)</f>
        <v>31.043507801912533</v>
      </c>
      <c r="Q90" s="91">
        <f t="shared" si="22"/>
        <v>14799.681909483781</v>
      </c>
      <c r="R90" s="88">
        <f>VLOOKUP(G90,SEMANAS!$B$1:$C$301,2,0)</f>
        <v>34</v>
      </c>
      <c r="S90" s="88">
        <f>VLOOKUP(H90,SEMANAS!$B$1:$C$301,2,0)</f>
        <v>35</v>
      </c>
      <c r="T90" s="90">
        <f>VLOOKUP(B90,'MT-MO'!$A$3:$C$31,2,0)</f>
        <v>0.52623399439170238</v>
      </c>
      <c r="U90" s="90">
        <f>VLOOKUP(B90,'MT-MO'!$A$3:$C$31,3,0)</f>
        <v>0.47376600560829757</v>
      </c>
      <c r="V90" s="92">
        <f t="shared" si="18"/>
        <v>7788.0957269542669</v>
      </c>
      <c r="W90" s="92">
        <f t="shared" si="19"/>
        <v>7011.5861825295133</v>
      </c>
      <c r="X90" s="80">
        <f t="shared" si="20"/>
        <v>44741</v>
      </c>
      <c r="Y90" s="80">
        <f t="shared" si="21"/>
        <v>44778</v>
      </c>
      <c r="Z90" s="95" t="s">
        <v>123</v>
      </c>
      <c r="AA90" s="96" t="s">
        <v>380</v>
      </c>
      <c r="AB90" s="96" t="s">
        <v>329</v>
      </c>
      <c r="AC90" s="96" t="s">
        <v>295</v>
      </c>
      <c r="AD90" s="80"/>
      <c r="AE90" s="89">
        <f t="shared" si="23"/>
        <v>0</v>
      </c>
      <c r="AF90" s="145" t="str">
        <f>IFERROR(VLOOKUP(K90,SEMANAS!$B$1:$C$301,2,0),"")</f>
        <v/>
      </c>
      <c r="AG90" s="102">
        <f t="shared" si="24"/>
        <v>0</v>
      </c>
      <c r="AH90" s="100">
        <f>IFERROR(VLOOKUP(L90,SEMANAS!$B$1:$C$301,2,0),"EXE")</f>
        <v>35</v>
      </c>
      <c r="AI90" s="100">
        <f>IFERROR(VLOOKUP(M90,SEMANAS!$B$1:$C$301,2,0),"EXE")</f>
        <v>36</v>
      </c>
      <c r="AJ90" s="101">
        <f>IF(AI90="EXE",0,Q90)</f>
        <v>14799.681909483781</v>
      </c>
    </row>
    <row r="91" spans="1:36">
      <c r="A91" t="s">
        <v>139</v>
      </c>
      <c r="B91" t="s">
        <v>61</v>
      </c>
      <c r="C91" t="s">
        <v>34</v>
      </c>
      <c r="D91" t="s">
        <v>31</v>
      </c>
      <c r="E91" t="s">
        <v>41</v>
      </c>
      <c r="F91" s="97" t="str">
        <f t="shared" si="17"/>
        <v>LouçasPAV4</v>
      </c>
      <c r="G91" s="80">
        <v>44763</v>
      </c>
      <c r="H91" s="80">
        <v>44767</v>
      </c>
      <c r="I91" s="105"/>
      <c r="J91" s="81"/>
      <c r="K91" s="81"/>
      <c r="L91" s="139">
        <f>IF(J91&gt;0,"executado",VLOOKUP(F91,REPLAN!$A$6:$C$127,2,0))</f>
        <v>44769</v>
      </c>
      <c r="M91" s="139">
        <f>IF(J91&gt;0,"executado",VLOOKUP(F91,REPLAN!$A$6:$C$127,3,0))</f>
        <v>44771</v>
      </c>
      <c r="N91" s="88">
        <v>16</v>
      </c>
      <c r="O91" s="88" t="s">
        <v>199</v>
      </c>
      <c r="P91" s="89">
        <f>VLOOKUP(B91,'CUSTO ATIVIDADE'!$A$1:$B$30,2,0)</f>
        <v>327.25146699999999</v>
      </c>
      <c r="Q91" s="91">
        <f t="shared" si="22"/>
        <v>5236.0234719999999</v>
      </c>
      <c r="R91" s="88">
        <f>VLOOKUP(G91,SEMANAS!$B$1:$C$301,2,0)</f>
        <v>35</v>
      </c>
      <c r="S91" s="88">
        <f>VLOOKUP(H91,SEMANAS!$B$1:$C$301,2,0)</f>
        <v>36</v>
      </c>
      <c r="T91" s="90">
        <f>VLOOKUP(B91,'MT-MO'!$A$3:$C$31,2,0)</f>
        <v>0.15279568352194051</v>
      </c>
      <c r="U91" s="90">
        <f>VLOOKUP(B91,'MT-MO'!$A$3:$C$31,3,0)</f>
        <v>0.84720431647805949</v>
      </c>
      <c r="V91" s="92">
        <f t="shared" si="18"/>
        <v>800.04178534116409</v>
      </c>
      <c r="W91" s="92">
        <f t="shared" si="19"/>
        <v>4435.9816866588353</v>
      </c>
      <c r="X91" s="80">
        <f t="shared" si="20"/>
        <v>44748</v>
      </c>
      <c r="Y91" s="80">
        <f t="shared" si="21"/>
        <v>44782</v>
      </c>
      <c r="Z91" s="95" t="s">
        <v>123</v>
      </c>
      <c r="AA91" s="96" t="s">
        <v>385</v>
      </c>
      <c r="AB91" s="96" t="s">
        <v>331</v>
      </c>
      <c r="AC91" s="96" t="s">
        <v>295</v>
      </c>
      <c r="AD91" s="80"/>
      <c r="AE91" s="89">
        <f t="shared" si="23"/>
        <v>0</v>
      </c>
      <c r="AF91" s="145" t="str">
        <f>IFERROR(VLOOKUP(K91,SEMANAS!$B$1:$C$301,2,0),"")</f>
        <v/>
      </c>
      <c r="AG91" s="102">
        <f t="shared" si="24"/>
        <v>0</v>
      </c>
      <c r="AH91" s="100">
        <f>IFERROR(VLOOKUP(L91,SEMANAS!$B$1:$C$301,2,0),"EXE")</f>
        <v>36</v>
      </c>
      <c r="AI91" s="100">
        <f>IFERROR(VLOOKUP(M91,SEMANAS!$B$1:$C$301,2,0),"EXE")</f>
        <v>36</v>
      </c>
      <c r="AJ91" s="101">
        <f>IF(AI91="EXE",0,Q91)</f>
        <v>5236.0234719999999</v>
      </c>
    </row>
    <row r="92" spans="1:36">
      <c r="A92" t="s">
        <v>140</v>
      </c>
      <c r="B92" t="s">
        <v>63</v>
      </c>
      <c r="C92" t="s">
        <v>34</v>
      </c>
      <c r="D92" t="s">
        <v>31</v>
      </c>
      <c r="E92" t="s">
        <v>41</v>
      </c>
      <c r="F92" s="97" t="str">
        <f t="shared" si="17"/>
        <v>Portas de MadeiraPAV4</v>
      </c>
      <c r="G92" s="80">
        <v>44768</v>
      </c>
      <c r="H92" s="80">
        <v>44770</v>
      </c>
      <c r="I92" s="105"/>
      <c r="J92" s="81"/>
      <c r="K92" s="81"/>
      <c r="L92" s="139">
        <f>IF(J92&gt;0,"executado",VLOOKUP(F92,REPLAN!$A$6:$C$127,2,0))</f>
        <v>44774</v>
      </c>
      <c r="M92" s="139">
        <f>IF(J92&gt;0,"executado",VLOOKUP(F92,REPLAN!$A$6:$C$127,3,0))</f>
        <v>44776</v>
      </c>
      <c r="N92" s="88">
        <v>20</v>
      </c>
      <c r="O92" s="88" t="s">
        <v>199</v>
      </c>
      <c r="P92" s="89">
        <f>VLOOKUP(B92,'CUSTO ATIVIDADE'!$A$1:$B$30,2,0)</f>
        <v>520</v>
      </c>
      <c r="Q92" s="91">
        <f t="shared" si="22"/>
        <v>10400</v>
      </c>
      <c r="R92" s="88">
        <f>VLOOKUP(G92,SEMANAS!$B$1:$C$301,2,0)</f>
        <v>36</v>
      </c>
      <c r="S92" s="88">
        <f>VLOOKUP(H92,SEMANAS!$B$1:$C$301,2,0)</f>
        <v>36</v>
      </c>
      <c r="T92" s="90">
        <f>VLOOKUP(B92,'MT-MO'!$A$3:$C$31,2,0)</f>
        <v>0.15384615384615385</v>
      </c>
      <c r="U92" s="90">
        <f>VLOOKUP(B92,'MT-MO'!$A$3:$C$31,3,0)</f>
        <v>0.84615384615384615</v>
      </c>
      <c r="V92" s="92">
        <f t="shared" si="18"/>
        <v>1600</v>
      </c>
      <c r="W92" s="92">
        <f t="shared" si="19"/>
        <v>8800</v>
      </c>
      <c r="X92" s="80">
        <f t="shared" si="20"/>
        <v>44753</v>
      </c>
      <c r="Y92" s="80">
        <f t="shared" si="21"/>
        <v>44785</v>
      </c>
      <c r="Z92" s="95" t="s">
        <v>123</v>
      </c>
      <c r="AA92" s="96" t="s">
        <v>386</v>
      </c>
      <c r="AB92" s="96" t="s">
        <v>333</v>
      </c>
      <c r="AC92" s="96" t="s">
        <v>295</v>
      </c>
      <c r="AD92" s="80"/>
      <c r="AE92" s="89">
        <f t="shared" si="23"/>
        <v>0</v>
      </c>
      <c r="AF92" s="145" t="str">
        <f>IFERROR(VLOOKUP(K92,SEMANAS!$B$1:$C$301,2,0),"")</f>
        <v/>
      </c>
      <c r="AG92" s="102">
        <f t="shared" si="24"/>
        <v>0</v>
      </c>
      <c r="AH92" s="100">
        <f>IFERROR(VLOOKUP(L92,SEMANAS!$B$1:$C$301,2,0),"EXE")</f>
        <v>37</v>
      </c>
      <c r="AI92" s="100">
        <f>IFERROR(VLOOKUP(M92,SEMANAS!$B$1:$C$301,2,0),"EXE")</f>
        <v>37</v>
      </c>
      <c r="AJ92" s="101">
        <f>IF(AI92="EXE",0,Q92)</f>
        <v>10400</v>
      </c>
    </row>
    <row r="93" spans="1:36">
      <c r="A93" t="s">
        <v>141</v>
      </c>
      <c r="B93" t="s">
        <v>65</v>
      </c>
      <c r="D93" t="s">
        <v>31</v>
      </c>
      <c r="E93" t="s">
        <v>16</v>
      </c>
      <c r="F93" s="97" t="str">
        <f t="shared" si="17"/>
        <v>Piso Laminado + RodapéPAV4</v>
      </c>
      <c r="G93" s="80">
        <v>44782</v>
      </c>
      <c r="H93" s="80">
        <v>44788</v>
      </c>
      <c r="I93" s="105"/>
      <c r="J93" s="81"/>
      <c r="K93" s="81"/>
      <c r="L93" s="139">
        <f>IF(J93&gt;0,"executado",VLOOKUP(F93,REPLAN!$A$6:$C$127,2,0))</f>
        <v>44782</v>
      </c>
      <c r="M93" s="139">
        <f>IF(J93&gt;0,"executado",VLOOKUP(F93,REPLAN!$A$6:$C$127,3,0))</f>
        <v>44788</v>
      </c>
      <c r="N93" s="88">
        <v>80.88</v>
      </c>
      <c r="O93" s="88" t="s">
        <v>195</v>
      </c>
      <c r="P93" s="89">
        <f>VLOOKUP(B93,'CUSTO ATIVIDADE'!$A$1:$B$30,2,0)</f>
        <v>162.85785630043145</v>
      </c>
      <c r="Q93" s="91">
        <f t="shared" si="22"/>
        <v>13171.943417578896</v>
      </c>
      <c r="R93" s="88">
        <f>VLOOKUP(G93,SEMANAS!$B$1:$C$301,2,0)</f>
        <v>38</v>
      </c>
      <c r="S93" s="88">
        <f>VLOOKUP(H93,SEMANAS!$B$1:$C$301,2,0)</f>
        <v>39</v>
      </c>
      <c r="T93" s="90">
        <f>VLOOKUP(B93,'MT-MO'!$A$3:$C$31,2,0)</f>
        <v>0.15351618107620765</v>
      </c>
      <c r="U93" s="90">
        <f>VLOOKUP(B93,'MT-MO'!$A$3:$C$31,3,0)</f>
        <v>0.84648381892379232</v>
      </c>
      <c r="V93" s="92">
        <f t="shared" si="18"/>
        <v>2022.1064508186032</v>
      </c>
      <c r="W93" s="92">
        <f t="shared" si="19"/>
        <v>11149.836966760293</v>
      </c>
      <c r="X93" s="80">
        <f t="shared" si="20"/>
        <v>44767</v>
      </c>
      <c r="Y93" s="80">
        <f t="shared" si="21"/>
        <v>44803</v>
      </c>
      <c r="Z93" s="95" t="s">
        <v>123</v>
      </c>
      <c r="AA93" s="96" t="s">
        <v>387</v>
      </c>
      <c r="AB93" s="96" t="s">
        <v>335</v>
      </c>
      <c r="AC93" s="96" t="s">
        <v>295</v>
      </c>
      <c r="AD93" s="80"/>
      <c r="AE93" s="89">
        <f t="shared" si="23"/>
        <v>0</v>
      </c>
      <c r="AF93" s="145" t="str">
        <f>IFERROR(VLOOKUP(K93,SEMANAS!$B$1:$C$301,2,0),"")</f>
        <v/>
      </c>
      <c r="AG93" s="102">
        <f t="shared" si="24"/>
        <v>0</v>
      </c>
      <c r="AH93" s="100">
        <f>IFERROR(VLOOKUP(L93,SEMANAS!$B$1:$C$301,2,0),"EXE")</f>
        <v>38</v>
      </c>
      <c r="AI93" s="100">
        <f>IFERROR(VLOOKUP(M93,SEMANAS!$B$1:$C$301,2,0),"EXE")</f>
        <v>39</v>
      </c>
      <c r="AJ93" s="101">
        <f>IF(AI93="EXE",0,Q93)</f>
        <v>13171.943417578896</v>
      </c>
    </row>
    <row r="94" spans="1:36">
      <c r="A94" t="s">
        <v>142</v>
      </c>
      <c r="B94" t="s">
        <v>67</v>
      </c>
      <c r="D94" t="s">
        <v>31</v>
      </c>
      <c r="E94" t="s">
        <v>41</v>
      </c>
      <c r="F94" s="97" t="str">
        <f t="shared" si="17"/>
        <v>MetaisPAV4</v>
      </c>
      <c r="G94" s="80">
        <v>44789</v>
      </c>
      <c r="H94" s="80">
        <v>44791</v>
      </c>
      <c r="I94" s="105"/>
      <c r="J94" s="81"/>
      <c r="K94" s="81"/>
      <c r="L94" s="139">
        <f>IF(J94&gt;0,"executado",VLOOKUP(F94,REPLAN!$A$6:$C$127,2,0))</f>
        <v>44789</v>
      </c>
      <c r="M94" s="139">
        <f>IF(J94&gt;0,"executado",VLOOKUP(F94,REPLAN!$A$6:$C$127,3,0))</f>
        <v>44791</v>
      </c>
      <c r="N94" s="88">
        <v>12</v>
      </c>
      <c r="O94" s="88" t="s">
        <v>199</v>
      </c>
      <c r="P94" s="89">
        <f>VLOOKUP(B94,'CUSTO ATIVIDADE'!$A$1:$B$30,2,0)</f>
        <v>111.67</v>
      </c>
      <c r="Q94" s="91">
        <f t="shared" si="22"/>
        <v>1340.04</v>
      </c>
      <c r="R94" s="88">
        <f>VLOOKUP(G94,SEMANAS!$B$1:$C$301,2,0)</f>
        <v>39</v>
      </c>
      <c r="S94" s="88">
        <f>VLOOKUP(H94,SEMANAS!$B$1:$C$301,2,0)</f>
        <v>39</v>
      </c>
      <c r="T94" s="90">
        <f>VLOOKUP(B94,'MT-MO'!$A$3:$C$31,2,0)</f>
        <v>0.44776119402985076</v>
      </c>
      <c r="U94" s="90">
        <f>VLOOKUP(B94,'MT-MO'!$A$3:$C$31,3,0)</f>
        <v>0.55223880597014929</v>
      </c>
      <c r="V94" s="92">
        <f t="shared" si="18"/>
        <v>600.01791044776121</v>
      </c>
      <c r="W94" s="92">
        <f t="shared" si="19"/>
        <v>740.02208955223887</v>
      </c>
      <c r="X94" s="80">
        <f t="shared" si="20"/>
        <v>44774</v>
      </c>
      <c r="Y94" s="80">
        <f t="shared" si="21"/>
        <v>44806</v>
      </c>
      <c r="Z94" s="95" t="s">
        <v>123</v>
      </c>
      <c r="AA94" s="96" t="s">
        <v>388</v>
      </c>
      <c r="AB94" s="96" t="s">
        <v>337</v>
      </c>
      <c r="AC94" s="96" t="s">
        <v>295</v>
      </c>
      <c r="AD94" s="80"/>
      <c r="AE94" s="89">
        <f t="shared" si="23"/>
        <v>0</v>
      </c>
      <c r="AF94" s="145" t="str">
        <f>IFERROR(VLOOKUP(K94,SEMANAS!$B$1:$C$301,2,0),"")</f>
        <v/>
      </c>
      <c r="AG94" s="102">
        <f t="shared" si="24"/>
        <v>0</v>
      </c>
      <c r="AH94" s="100">
        <f>IFERROR(VLOOKUP(L94,SEMANAS!$B$1:$C$301,2,0),"EXE")</f>
        <v>39</v>
      </c>
      <c r="AI94" s="100">
        <f>IFERROR(VLOOKUP(M94,SEMANAS!$B$1:$C$301,2,0),"EXE")</f>
        <v>39</v>
      </c>
      <c r="AJ94" s="101">
        <f>IF(AI94="EXE",0,Q94)</f>
        <v>1340.04</v>
      </c>
    </row>
    <row r="95" spans="1:36">
      <c r="A95" t="s">
        <v>143</v>
      </c>
      <c r="B95" t="s">
        <v>69</v>
      </c>
      <c r="D95" t="s">
        <v>31</v>
      </c>
      <c r="E95" t="s">
        <v>41</v>
      </c>
      <c r="F95" s="97" t="str">
        <f t="shared" si="17"/>
        <v>Acabamentos ElétricosPAV4</v>
      </c>
      <c r="G95" s="80">
        <v>44789</v>
      </c>
      <c r="H95" s="80">
        <v>44791</v>
      </c>
      <c r="I95" s="105"/>
      <c r="J95" s="81"/>
      <c r="K95" s="81"/>
      <c r="L95" s="139">
        <f>IF(J95&gt;0,"executado",VLOOKUP(F95,REPLAN!$A$6:$C$127,2,0))</f>
        <v>44789</v>
      </c>
      <c r="M95" s="139">
        <f>IF(J95&gt;0,"executado",VLOOKUP(F95,REPLAN!$A$6:$C$127,3,0))</f>
        <v>44791</v>
      </c>
      <c r="N95" s="87">
        <v>4</v>
      </c>
      <c r="O95" s="88" t="s">
        <v>200</v>
      </c>
      <c r="P95" s="89">
        <f>VLOOKUP(B95,'CUSTO ATIVIDADE'!$A$1:$B$30,2,0)</f>
        <v>513.50426281564182</v>
      </c>
      <c r="Q95" s="91">
        <f t="shared" si="22"/>
        <v>2054.0170512625673</v>
      </c>
      <c r="R95" s="88">
        <f>VLOOKUP(G95,SEMANAS!$B$1:$C$301,2,0)</f>
        <v>39</v>
      </c>
      <c r="S95" s="88">
        <f>VLOOKUP(H95,SEMANAS!$B$1:$C$301,2,0)</f>
        <v>39</v>
      </c>
      <c r="T95" s="90">
        <f>VLOOKUP(B95,'MT-MO'!$A$3:$C$32,2,0)</f>
        <v>0.45</v>
      </c>
      <c r="U95" s="90">
        <f>VLOOKUP(B95,'MT-MO'!$A$3:$C$32,3,0)</f>
        <v>0.55000000000000004</v>
      </c>
      <c r="V95" s="92">
        <f t="shared" si="18"/>
        <v>924.30767306815528</v>
      </c>
      <c r="W95" s="92">
        <f t="shared" si="19"/>
        <v>1129.709378194412</v>
      </c>
      <c r="X95" s="80">
        <f t="shared" si="20"/>
        <v>44774</v>
      </c>
      <c r="Y95" s="80">
        <f t="shared" si="21"/>
        <v>44806</v>
      </c>
      <c r="Z95" s="95" t="s">
        <v>123</v>
      </c>
      <c r="AA95" s="96" t="s">
        <v>380</v>
      </c>
      <c r="AB95" s="96" t="s">
        <v>338</v>
      </c>
      <c r="AC95" s="96" t="s">
        <v>295</v>
      </c>
      <c r="AD95" s="80"/>
      <c r="AE95" s="89">
        <f t="shared" si="23"/>
        <v>0</v>
      </c>
      <c r="AF95" s="145" t="str">
        <f>IFERROR(VLOOKUP(K95,SEMANAS!$B$1:$C$301,2,0),"")</f>
        <v/>
      </c>
      <c r="AG95" s="102">
        <f t="shared" si="24"/>
        <v>0</v>
      </c>
      <c r="AH95" s="100">
        <f>IFERROR(VLOOKUP(L95,SEMANAS!$B$1:$C$301,2,0),"EXE")</f>
        <v>39</v>
      </c>
      <c r="AI95" s="100">
        <f>IFERROR(VLOOKUP(M95,SEMANAS!$B$1:$C$301,2,0),"EXE")</f>
        <v>39</v>
      </c>
      <c r="AJ95" s="101">
        <f>IF(AI95="EXE",0,Q95)</f>
        <v>2054.0170512625673</v>
      </c>
    </row>
    <row r="96" spans="1:36">
      <c r="A96" t="s">
        <v>144</v>
      </c>
      <c r="B96" t="s">
        <v>71</v>
      </c>
      <c r="D96" t="s">
        <v>31</v>
      </c>
      <c r="E96" t="s">
        <v>16</v>
      </c>
      <c r="F96" s="97" t="str">
        <f t="shared" si="17"/>
        <v>Pintura FinalPAV4</v>
      </c>
      <c r="G96" s="80">
        <v>44803</v>
      </c>
      <c r="H96" s="80">
        <v>44809</v>
      </c>
      <c r="I96" s="105"/>
      <c r="J96" s="81"/>
      <c r="K96" s="81"/>
      <c r="L96" s="139">
        <f>IF(J96&gt;0,"executado",VLOOKUP(F96,REPLAN!$A$6:$C$127,2,0))</f>
        <v>44803</v>
      </c>
      <c r="M96" s="139">
        <f>IF(J96&gt;0,"executado",VLOOKUP(F96,REPLAN!$A$6:$C$127,3,0))</f>
        <v>44809</v>
      </c>
      <c r="N96" s="88">
        <v>614.55999999999995</v>
      </c>
      <c r="O96" s="88" t="s">
        <v>195</v>
      </c>
      <c r="P96" s="89">
        <f>VLOOKUP(B96,'CUSTO ATIVIDADE'!$A$1:$B$30,2,0)</f>
        <v>6</v>
      </c>
      <c r="Q96" s="91">
        <f t="shared" si="22"/>
        <v>3687.3599999999997</v>
      </c>
      <c r="R96" s="88">
        <f>VLOOKUP(G96,SEMANAS!$B$1:$C$301,2,0)</f>
        <v>41</v>
      </c>
      <c r="S96" s="88">
        <f>VLOOKUP(H96,SEMANAS!$B$1:$C$301,2,0)</f>
        <v>42</v>
      </c>
      <c r="T96" s="90">
        <f>VLOOKUP(B96,'MT-MO'!$A$3:$C$31,2,0)</f>
        <v>1</v>
      </c>
      <c r="U96" s="90">
        <f>VLOOKUP(B96,'MT-MO'!$A$3:$C$31,3,0)</f>
        <v>0</v>
      </c>
      <c r="V96" s="92">
        <f t="shared" si="18"/>
        <v>3687.3599999999997</v>
      </c>
      <c r="W96" s="92">
        <f t="shared" si="19"/>
        <v>0</v>
      </c>
      <c r="X96" s="80">
        <f t="shared" si="20"/>
        <v>44788</v>
      </c>
      <c r="Y96" s="80">
        <f t="shared" si="21"/>
        <v>44824</v>
      </c>
      <c r="Z96" s="95" t="s">
        <v>123</v>
      </c>
      <c r="AA96" s="96" t="s">
        <v>380</v>
      </c>
      <c r="AB96" s="96" t="s">
        <v>339</v>
      </c>
      <c r="AC96" s="96" t="s">
        <v>295</v>
      </c>
      <c r="AD96" s="80"/>
      <c r="AE96" s="89">
        <f t="shared" si="23"/>
        <v>0</v>
      </c>
      <c r="AF96" s="145" t="str">
        <f>IFERROR(VLOOKUP(K96,SEMANAS!$B$1:$C$301,2,0),"")</f>
        <v/>
      </c>
      <c r="AG96" s="102">
        <f t="shared" si="24"/>
        <v>0</v>
      </c>
      <c r="AH96" s="100">
        <f>IFERROR(VLOOKUP(L96,SEMANAS!$B$1:$C$301,2,0),"EXE")</f>
        <v>41</v>
      </c>
      <c r="AI96" s="100">
        <f>IFERROR(VLOOKUP(M96,SEMANAS!$B$1:$C$301,2,0),"EXE")</f>
        <v>42</v>
      </c>
      <c r="AJ96" s="101">
        <f>IF(AI96="EXE",0,Q96)</f>
        <v>3687.3599999999997</v>
      </c>
    </row>
    <row r="97" spans="1:36">
      <c r="A97" t="s">
        <v>145</v>
      </c>
      <c r="B97" t="s">
        <v>73</v>
      </c>
      <c r="D97" t="s">
        <v>31</v>
      </c>
      <c r="E97" t="s">
        <v>41</v>
      </c>
      <c r="F97" s="97" t="str">
        <f t="shared" si="17"/>
        <v>Complementação e LimpezaPAV4</v>
      </c>
      <c r="G97" s="80">
        <v>44810</v>
      </c>
      <c r="H97" s="80">
        <v>44813</v>
      </c>
      <c r="I97" s="105"/>
      <c r="J97" s="81"/>
      <c r="K97" s="81"/>
      <c r="L97" s="139">
        <f>IF(J97&gt;0,"executado",VLOOKUP(F97,REPLAN!$A$6:$C$127,2,0))</f>
        <v>44810</v>
      </c>
      <c r="M97" s="139">
        <f>IF(J97&gt;0,"executado",VLOOKUP(F97,REPLAN!$A$6:$C$127,3,0))</f>
        <v>44813</v>
      </c>
      <c r="N97" s="88">
        <v>0.25</v>
      </c>
      <c r="O97" s="88" t="s">
        <v>197</v>
      </c>
      <c r="P97" s="89">
        <f>VLOOKUP(B97,'CUSTO ATIVIDADE'!$A$1:$B$30,2,0)</f>
        <v>2000</v>
      </c>
      <c r="Q97" s="91">
        <f t="shared" si="22"/>
        <v>500</v>
      </c>
      <c r="R97" s="88">
        <f>VLOOKUP(G97,SEMANAS!$B$1:$C$301,2,0)</f>
        <v>42</v>
      </c>
      <c r="S97" s="88">
        <f>VLOOKUP(H97,SEMANAS!$B$1:$C$301,2,0)</f>
        <v>42</v>
      </c>
      <c r="T97" s="90">
        <f>VLOOKUP(B97,'MT-MO'!$A$3:$C$31,2,0)</f>
        <v>1</v>
      </c>
      <c r="U97" s="90">
        <f>VLOOKUP(B97,'MT-MO'!$A$3:$C$31,3,0)</f>
        <v>0</v>
      </c>
      <c r="V97" s="92">
        <f t="shared" si="18"/>
        <v>500</v>
      </c>
      <c r="W97" s="92">
        <f t="shared" si="19"/>
        <v>0</v>
      </c>
      <c r="X97" s="80">
        <f t="shared" si="20"/>
        <v>44795</v>
      </c>
      <c r="Y97" s="80">
        <f t="shared" si="21"/>
        <v>44828</v>
      </c>
      <c r="Z97" s="95" t="s">
        <v>123</v>
      </c>
      <c r="AA97" s="96" t="s">
        <v>380</v>
      </c>
      <c r="AB97" s="96" t="s">
        <v>340</v>
      </c>
      <c r="AC97" s="96" t="s">
        <v>295</v>
      </c>
      <c r="AD97" s="80"/>
      <c r="AE97" s="89">
        <f t="shared" si="23"/>
        <v>0</v>
      </c>
      <c r="AF97" s="145" t="str">
        <f>IFERROR(VLOOKUP(K97,SEMANAS!$B$1:$C$301,2,0),"")</f>
        <v/>
      </c>
      <c r="AG97" s="102">
        <f t="shared" si="24"/>
        <v>0</v>
      </c>
      <c r="AH97" s="100">
        <f>IFERROR(VLOOKUP(L97,SEMANAS!$B$1:$C$301,2,0),"EXE")</f>
        <v>42</v>
      </c>
      <c r="AI97" s="100">
        <f>IFERROR(VLOOKUP(M97,SEMANAS!$B$1:$C$301,2,0),"EXE")</f>
        <v>42</v>
      </c>
      <c r="AJ97" s="101">
        <f>IF(AI97="EXE",0,Q97)</f>
        <v>500</v>
      </c>
    </row>
    <row r="98" spans="1:36">
      <c r="A98" s="108" t="s">
        <v>146</v>
      </c>
      <c r="B98" s="108" t="s">
        <v>147</v>
      </c>
      <c r="C98" s="108"/>
      <c r="D98" s="108"/>
      <c r="E98" s="108" t="s">
        <v>148</v>
      </c>
      <c r="F98" s="108" t="str">
        <f t="shared" si="17"/>
        <v>COB</v>
      </c>
      <c r="G98" s="109">
        <v>44621</v>
      </c>
      <c r="H98" s="109">
        <v>44676</v>
      </c>
      <c r="I98" s="110"/>
      <c r="J98" s="111"/>
      <c r="K98" s="111"/>
      <c r="L98" s="140"/>
      <c r="M98" s="108"/>
      <c r="N98" s="111" t="s">
        <v>9</v>
      </c>
      <c r="O98" s="111"/>
      <c r="P98" s="112"/>
      <c r="Q98" s="111"/>
      <c r="R98" s="111">
        <f>VLOOKUP(G98,SEMANAS!$B$1:$C$301,2,0)</f>
        <v>15</v>
      </c>
      <c r="S98" s="111">
        <f>VLOOKUP(H98,SEMANAS!$B$1:$C$301,2,0)</f>
        <v>23</v>
      </c>
      <c r="T98" s="110"/>
      <c r="U98" s="110"/>
      <c r="V98" s="113">
        <f t="shared" si="18"/>
        <v>0</v>
      </c>
      <c r="W98" s="113">
        <f t="shared" si="19"/>
        <v>0</v>
      </c>
      <c r="X98" s="109">
        <f t="shared" si="20"/>
        <v>44606</v>
      </c>
      <c r="Y98" s="109">
        <f t="shared" si="21"/>
        <v>44691</v>
      </c>
      <c r="Z98" s="106"/>
      <c r="AA98" s="107" t="s">
        <v>9</v>
      </c>
      <c r="AB98" s="107"/>
      <c r="AC98" s="107"/>
      <c r="AD98" s="110"/>
      <c r="AE98" s="109"/>
      <c r="AF98" s="144"/>
      <c r="AG98" s="114"/>
      <c r="AH98" s="111"/>
      <c r="AI98" s="111"/>
      <c r="AJ98" s="115"/>
    </row>
    <row r="99" spans="1:36" hidden="1">
      <c r="A99" t="s">
        <v>149</v>
      </c>
      <c r="B99" t="s">
        <v>30</v>
      </c>
      <c r="D99" t="s">
        <v>150</v>
      </c>
      <c r="E99" t="s">
        <v>16</v>
      </c>
      <c r="F99" s="97" t="str">
        <f t="shared" si="17"/>
        <v>Alvenaria EstruturalCOB</v>
      </c>
      <c r="G99" s="80">
        <v>44621</v>
      </c>
      <c r="H99" s="80">
        <v>44627</v>
      </c>
      <c r="I99" s="105">
        <v>1</v>
      </c>
      <c r="J99" s="116">
        <v>44635</v>
      </c>
      <c r="K99" s="116">
        <f>J99+4</f>
        <v>44639</v>
      </c>
      <c r="L99" s="139" t="str">
        <f>IF(J99&gt;0,"executado",VLOOKUP(F99,REPLAN!$A$6:$C$127,2,0))</f>
        <v>executado</v>
      </c>
      <c r="M99" s="139" t="str">
        <f>IF(J99&gt;0,"executado",VLOOKUP(F99,REPLAN!$A$6:$C$127,3,0))</f>
        <v>executado</v>
      </c>
      <c r="N99" s="88">
        <v>81.7</v>
      </c>
      <c r="O99" s="88" t="s">
        <v>195</v>
      </c>
      <c r="P99" s="89">
        <f>VLOOKUP(B99,'CUSTO ATIVIDADE'!$A$1:$B$30,2,0)</f>
        <v>247.89395397660905</v>
      </c>
      <c r="Q99" s="91">
        <f t="shared" ref="Q99:Q102" si="25">P99*N99</f>
        <v>20252.936039888962</v>
      </c>
      <c r="R99" s="88">
        <f>VLOOKUP(G99,SEMANAS!$B$1:$C$301,2,0)</f>
        <v>15</v>
      </c>
      <c r="S99" s="88">
        <f>VLOOKUP(H99,SEMANAS!$B$1:$C$301,2,0)</f>
        <v>16</v>
      </c>
      <c r="T99" s="90">
        <f>VLOOKUP(B99,'MT-MO'!$A$3:$C$31,2,0)</f>
        <v>0.13858702989570013</v>
      </c>
      <c r="U99" s="90">
        <f>VLOOKUP(B99,'MT-MO'!$A$3:$C$31,3,0)</f>
        <v>0.86141297010429985</v>
      </c>
      <c r="V99" s="92">
        <f t="shared" si="18"/>
        <v>2806.7942524357941</v>
      </c>
      <c r="W99" s="92">
        <f t="shared" si="19"/>
        <v>17446.141787453169</v>
      </c>
      <c r="X99" s="80">
        <f t="shared" si="20"/>
        <v>44606</v>
      </c>
      <c r="Y99" s="80">
        <f t="shared" si="21"/>
        <v>44642</v>
      </c>
      <c r="Z99" s="95" t="s">
        <v>147</v>
      </c>
      <c r="AA99" s="96" t="s">
        <v>389</v>
      </c>
      <c r="AB99" s="96" t="s">
        <v>305</v>
      </c>
      <c r="AC99" s="96" t="s">
        <v>295</v>
      </c>
      <c r="AD99" s="90">
        <v>1</v>
      </c>
      <c r="AE99" s="89">
        <f t="shared" ref="AE99:AE102" si="26">AD99*Q99</f>
        <v>20252.936039888962</v>
      </c>
      <c r="AF99" s="145">
        <f>IFERROR(VLOOKUP(K99,SEMANAS!$B$1:$C$301,2,0),"")</f>
        <v>17</v>
      </c>
      <c r="AG99" s="102">
        <f t="shared" ref="AG99:AG102" si="27">Q99*I99</f>
        <v>20252.936039888962</v>
      </c>
      <c r="AH99" s="100" t="str">
        <f>IFERROR(VLOOKUP(L99,SEMANAS!$B$1:$C$301,2,0),"EXE")</f>
        <v>EXE</v>
      </c>
      <c r="AI99" s="100" t="str">
        <f>IFERROR(VLOOKUP(M99,SEMANAS!$B$1:$C$301,2,0),"EXE")</f>
        <v>EXE</v>
      </c>
      <c r="AJ99" s="101">
        <f>IF(AI99="EXE",0,Q99)</f>
        <v>0</v>
      </c>
    </row>
    <row r="100" spans="1:36">
      <c r="A100" t="s">
        <v>151</v>
      </c>
      <c r="B100" t="s">
        <v>36</v>
      </c>
      <c r="D100" t="s">
        <v>150</v>
      </c>
      <c r="E100" t="s">
        <v>16</v>
      </c>
      <c r="F100" s="97" t="str">
        <f t="shared" si="17"/>
        <v>Instalações HidrossanitáriasCOB</v>
      </c>
      <c r="G100" s="80">
        <v>44635</v>
      </c>
      <c r="H100" s="80">
        <v>44641</v>
      </c>
      <c r="I100" s="105"/>
      <c r="J100" s="81"/>
      <c r="K100" s="81"/>
      <c r="L100" s="139">
        <f>IF(J100&gt;0,"executado",VLOOKUP(F100,REPLAN!$A$6:$C$127,2,0))</f>
        <v>44641</v>
      </c>
      <c r="M100" s="139">
        <f>IF(J100&gt;0,"executado",VLOOKUP(F100,REPLAN!$A$6:$C$127,3,0))</f>
        <v>44645</v>
      </c>
      <c r="N100" s="88"/>
      <c r="O100" s="88"/>
      <c r="P100" s="89">
        <f>VLOOKUP(B100,'CUSTO ATIVIDADE'!$A$1:$B$30,2,0)</f>
        <v>13455.889210118192</v>
      </c>
      <c r="Q100" s="91">
        <f t="shared" si="25"/>
        <v>0</v>
      </c>
      <c r="R100" s="88">
        <f>VLOOKUP(G100,SEMANAS!$B$1:$C$301,2,0)</f>
        <v>17</v>
      </c>
      <c r="S100" s="88">
        <f>VLOOKUP(H100,SEMANAS!$B$1:$C$301,2,0)</f>
        <v>18</v>
      </c>
      <c r="T100" s="90">
        <f>VLOOKUP(B100,'MT-MO'!$A$3:$C$31,2,0)</f>
        <v>0.35672482024413354</v>
      </c>
      <c r="U100" s="90">
        <f>VLOOKUP(B100,'MT-MO'!$A$3:$C$31,3,0)</f>
        <v>0.64327517975586646</v>
      </c>
      <c r="V100" s="92">
        <f t="shared" si="18"/>
        <v>0</v>
      </c>
      <c r="W100" s="92">
        <f t="shared" si="19"/>
        <v>0</v>
      </c>
      <c r="X100" s="80">
        <f t="shared" si="20"/>
        <v>44620</v>
      </c>
      <c r="Y100" s="80">
        <f t="shared" si="21"/>
        <v>44656</v>
      </c>
      <c r="Z100" s="95" t="s">
        <v>147</v>
      </c>
      <c r="AA100" s="96" t="s">
        <v>390</v>
      </c>
      <c r="AB100" s="96" t="s">
        <v>309</v>
      </c>
      <c r="AC100" s="96" t="s">
        <v>295</v>
      </c>
      <c r="AD100" s="90">
        <v>0.7</v>
      </c>
      <c r="AE100" s="89">
        <f t="shared" si="26"/>
        <v>0</v>
      </c>
      <c r="AF100" s="145" t="str">
        <f>IFERROR(VLOOKUP(K100,SEMANAS!$B$1:$C$301,2,0),"")</f>
        <v/>
      </c>
      <c r="AG100" s="102">
        <f t="shared" si="27"/>
        <v>0</v>
      </c>
      <c r="AH100" s="100">
        <f>IFERROR(VLOOKUP(L100,SEMANAS!$B$1:$C$301,2,0),"EXE")</f>
        <v>18</v>
      </c>
      <c r="AI100" s="100">
        <f>IFERROR(VLOOKUP(M100,SEMANAS!$B$1:$C$301,2,0),"EXE")</f>
        <v>18</v>
      </c>
      <c r="AJ100" s="101">
        <f>IF(AI100="EXE",0,Q100)</f>
        <v>0</v>
      </c>
    </row>
    <row r="101" spans="1:36">
      <c r="A101" t="s">
        <v>152</v>
      </c>
      <c r="B101" t="s">
        <v>153</v>
      </c>
      <c r="D101" t="s">
        <v>150</v>
      </c>
      <c r="E101" t="s">
        <v>16</v>
      </c>
      <c r="F101" s="97" t="str">
        <f t="shared" si="17"/>
        <v>TelhadoCOB</v>
      </c>
      <c r="G101" s="80">
        <v>44642</v>
      </c>
      <c r="H101" s="80">
        <v>44648</v>
      </c>
      <c r="I101" s="105"/>
      <c r="J101" s="81"/>
      <c r="K101" s="81"/>
      <c r="L101" s="139">
        <f>IF(J101&gt;0,"executado",VLOOKUP(F101,REPLAN!$A$6:$C$127,2,0))</f>
        <v>44648</v>
      </c>
      <c r="M101" s="139">
        <f>IF(J101&gt;0,"executado",VLOOKUP(F101,REPLAN!$A$6:$C$127,3,0))</f>
        <v>44652</v>
      </c>
      <c r="N101" s="88">
        <v>243.7</v>
      </c>
      <c r="O101" s="88" t="s">
        <v>195</v>
      </c>
      <c r="P101" s="89">
        <f>VLOOKUP(B101,'CUSTO ATIVIDADE'!$A$1:$B$30,2,0)</f>
        <v>209.65947672607118</v>
      </c>
      <c r="Q101" s="91">
        <f t="shared" si="25"/>
        <v>51094.014478143545</v>
      </c>
      <c r="R101" s="88">
        <f>VLOOKUP(G101,SEMANAS!$B$1:$C$301,2,0)</f>
        <v>18</v>
      </c>
      <c r="S101" s="88">
        <f>VLOOKUP(H101,SEMANAS!$B$1:$C$301,2,0)</f>
        <v>19</v>
      </c>
      <c r="T101" s="90">
        <f>VLOOKUP(B101,'MT-MO'!$A$3:$C$31,2,0)</f>
        <v>0.48683772728162372</v>
      </c>
      <c r="U101" s="90">
        <f>VLOOKUP(B101,'MT-MO'!$A$3:$C$31,3,0)</f>
        <v>0.51316227271837633</v>
      </c>
      <c r="V101" s="92">
        <f t="shared" si="18"/>
        <v>24874.49388623378</v>
      </c>
      <c r="W101" s="92">
        <f t="shared" si="19"/>
        <v>26219.520591909768</v>
      </c>
      <c r="X101" s="80">
        <f t="shared" si="20"/>
        <v>44627</v>
      </c>
      <c r="Y101" s="80">
        <f t="shared" si="21"/>
        <v>44663</v>
      </c>
      <c r="Z101" s="95" t="s">
        <v>147</v>
      </c>
      <c r="AA101" s="96" t="s">
        <v>391</v>
      </c>
      <c r="AB101" s="96" t="s">
        <v>392</v>
      </c>
      <c r="AC101" s="96" t="s">
        <v>295</v>
      </c>
      <c r="AD101" s="80"/>
      <c r="AE101" s="89">
        <f t="shared" si="26"/>
        <v>0</v>
      </c>
      <c r="AF101" s="145" t="str">
        <f>IFERROR(VLOOKUP(K101,SEMANAS!$B$1:$C$301,2,0),"")</f>
        <v/>
      </c>
      <c r="AG101" s="102">
        <f t="shared" si="27"/>
        <v>0</v>
      </c>
      <c r="AH101" s="100">
        <f>IFERROR(VLOOKUP(L101,SEMANAS!$B$1:$C$301,2,0),"EXE")</f>
        <v>19</v>
      </c>
      <c r="AI101" s="100">
        <f>IFERROR(VLOOKUP(M101,SEMANAS!$B$1:$C$301,2,0),"EXE")</f>
        <v>19</v>
      </c>
      <c r="AJ101" s="101">
        <f>IF(AI101="EXE",0,Q101)</f>
        <v>51094.014478143545</v>
      </c>
    </row>
    <row r="102" spans="1:36">
      <c r="A102" t="s">
        <v>154</v>
      </c>
      <c r="B102" t="s">
        <v>155</v>
      </c>
      <c r="D102" t="s">
        <v>150</v>
      </c>
      <c r="E102" t="s">
        <v>16</v>
      </c>
      <c r="F102" s="97" t="str">
        <f t="shared" si="17"/>
        <v>Algerosas + RufosCOB</v>
      </c>
      <c r="G102" s="80">
        <v>44670</v>
      </c>
      <c r="H102" s="80">
        <v>44676</v>
      </c>
      <c r="I102" s="105"/>
      <c r="J102" s="81"/>
      <c r="K102" s="81"/>
      <c r="L102" s="139">
        <f>IF(J102&gt;0,"executado",VLOOKUP(F102,REPLAN!$A$6:$C$127,2,0))</f>
        <v>44673</v>
      </c>
      <c r="M102" s="139">
        <f>IF(J102&gt;0,"executado",VLOOKUP(F102,REPLAN!$A$6:$C$127,3,0))</f>
        <v>44680</v>
      </c>
      <c r="N102" s="88">
        <v>75.180000000000007</v>
      </c>
      <c r="O102" s="88" t="s">
        <v>201</v>
      </c>
      <c r="P102" s="89">
        <f>VLOOKUP(B102,'CUSTO ATIVIDADE'!$A$1:$B$30,2,0)</f>
        <v>134.24139437622111</v>
      </c>
      <c r="Q102" s="91">
        <f t="shared" si="25"/>
        <v>10092.268029204304</v>
      </c>
      <c r="R102" s="88">
        <f>VLOOKUP(G102,SEMANAS!$B$1:$C$301,2,0)</f>
        <v>22</v>
      </c>
      <c r="S102" s="88">
        <f>VLOOKUP(H102,SEMANAS!$B$1:$C$301,2,0)</f>
        <v>23</v>
      </c>
      <c r="T102" s="90">
        <f>VLOOKUP(B102,'MT-MO'!$A$3:$C$31,2,0)</f>
        <v>0.24772096710265556</v>
      </c>
      <c r="U102" s="90">
        <f>VLOOKUP(B102,'MT-MO'!$A$3:$C$31,3,0)</f>
        <v>0.75227903289734444</v>
      </c>
      <c r="V102" s="92">
        <f t="shared" si="18"/>
        <v>2500.0663964537021</v>
      </c>
      <c r="W102" s="92">
        <f t="shared" si="19"/>
        <v>7592.2016327506026</v>
      </c>
      <c r="X102" s="80">
        <f t="shared" si="20"/>
        <v>44655</v>
      </c>
      <c r="Y102" s="80">
        <f t="shared" si="21"/>
        <v>44691</v>
      </c>
      <c r="Z102" s="95" t="s">
        <v>147</v>
      </c>
      <c r="AA102" s="96" t="s">
        <v>389</v>
      </c>
      <c r="AB102" s="96" t="s">
        <v>393</v>
      </c>
      <c r="AC102" s="96" t="s">
        <v>295</v>
      </c>
      <c r="AD102" s="80"/>
      <c r="AE102" s="89">
        <f t="shared" si="26"/>
        <v>0</v>
      </c>
      <c r="AF102" s="145" t="str">
        <f>IFERROR(VLOOKUP(K102,SEMANAS!$B$1:$C$301,2,0),"")</f>
        <v/>
      </c>
      <c r="AG102" s="102">
        <f t="shared" si="27"/>
        <v>0</v>
      </c>
      <c r="AH102" s="100">
        <f>IFERROR(VLOOKUP(L102,SEMANAS!$B$1:$C$301,2,0),"EXE")</f>
        <v>22</v>
      </c>
      <c r="AI102" s="100">
        <f>IFERROR(VLOOKUP(M102,SEMANAS!$B$1:$C$301,2,0),"EXE")</f>
        <v>23</v>
      </c>
      <c r="AJ102" s="101">
        <f>IF(AI102="EXE",0,Q102)</f>
        <v>10092.268029204304</v>
      </c>
    </row>
    <row r="103" spans="1:36">
      <c r="A103" s="108">
        <v>2</v>
      </c>
      <c r="B103" s="108" t="s">
        <v>156</v>
      </c>
      <c r="C103" s="108"/>
      <c r="D103" s="108"/>
      <c r="E103" s="108" t="s">
        <v>157</v>
      </c>
      <c r="F103" s="108" t="str">
        <f t="shared" si="17"/>
        <v>FACHADA</v>
      </c>
      <c r="G103" s="109">
        <v>44628</v>
      </c>
      <c r="H103" s="109">
        <v>44756</v>
      </c>
      <c r="I103" s="110"/>
      <c r="J103" s="111"/>
      <c r="K103" s="111"/>
      <c r="L103" s="140"/>
      <c r="M103" s="108"/>
      <c r="N103" s="111" t="s">
        <v>9</v>
      </c>
      <c r="O103" s="111"/>
      <c r="P103" s="112"/>
      <c r="Q103" s="111"/>
      <c r="R103" s="111">
        <f>VLOOKUP(G103,SEMANAS!$B$1:$C$301,2,0)</f>
        <v>16</v>
      </c>
      <c r="S103" s="111">
        <f>VLOOKUP(H103,SEMANAS!$B$1:$C$301,2,0)</f>
        <v>34</v>
      </c>
      <c r="T103" s="110"/>
      <c r="U103" s="110"/>
      <c r="V103" s="113">
        <f t="shared" si="18"/>
        <v>0</v>
      </c>
      <c r="W103" s="113">
        <f t="shared" si="19"/>
        <v>0</v>
      </c>
      <c r="X103" s="109">
        <f t="shared" si="20"/>
        <v>44613</v>
      </c>
      <c r="Y103" s="109">
        <f t="shared" si="21"/>
        <v>44771</v>
      </c>
      <c r="Z103" s="106"/>
      <c r="AA103" s="107" t="s">
        <v>9</v>
      </c>
      <c r="AB103" s="107"/>
      <c r="AC103" s="107"/>
      <c r="AD103" s="110"/>
      <c r="AE103" s="109"/>
      <c r="AF103" s="144"/>
      <c r="AG103" s="114"/>
      <c r="AH103" s="111"/>
      <c r="AI103" s="111"/>
      <c r="AJ103" s="115"/>
    </row>
    <row r="104" spans="1:36">
      <c r="A104" s="108" t="s">
        <v>158</v>
      </c>
      <c r="B104" s="108" t="s">
        <v>159</v>
      </c>
      <c r="C104" s="108"/>
      <c r="D104" s="108"/>
      <c r="E104" s="108" t="s">
        <v>160</v>
      </c>
      <c r="F104" s="108" t="str">
        <f t="shared" si="17"/>
        <v>PANO1</v>
      </c>
      <c r="G104" s="109">
        <v>44628</v>
      </c>
      <c r="H104" s="109">
        <v>44721</v>
      </c>
      <c r="I104" s="110"/>
      <c r="J104" s="111"/>
      <c r="K104" s="111"/>
      <c r="L104" s="140"/>
      <c r="M104" s="108"/>
      <c r="N104" s="111" t="s">
        <v>9</v>
      </c>
      <c r="O104" s="111"/>
      <c r="P104" s="112"/>
      <c r="Q104" s="111"/>
      <c r="R104" s="111">
        <f>VLOOKUP(G104,SEMANAS!$B$1:$C$301,2,0)</f>
        <v>16</v>
      </c>
      <c r="S104" s="111">
        <f>VLOOKUP(H104,SEMANAS!$B$1:$C$301,2,0)</f>
        <v>29</v>
      </c>
      <c r="T104" s="110"/>
      <c r="U104" s="110"/>
      <c r="V104" s="113">
        <f t="shared" si="18"/>
        <v>0</v>
      </c>
      <c r="W104" s="113">
        <f t="shared" si="19"/>
        <v>0</v>
      </c>
      <c r="X104" s="109">
        <f t="shared" si="20"/>
        <v>44613</v>
      </c>
      <c r="Y104" s="109">
        <f t="shared" si="21"/>
        <v>44736</v>
      </c>
      <c r="Z104" s="106"/>
      <c r="AA104" s="107" t="s">
        <v>9</v>
      </c>
      <c r="AB104" s="107"/>
      <c r="AC104" s="107"/>
      <c r="AD104" s="110"/>
      <c r="AE104" s="109"/>
      <c r="AF104" s="144"/>
      <c r="AG104" s="114"/>
      <c r="AH104" s="111"/>
      <c r="AI104" s="111"/>
      <c r="AJ104" s="115"/>
    </row>
    <row r="105" spans="1:36">
      <c r="A105" t="s">
        <v>161</v>
      </c>
      <c r="B105" t="s">
        <v>162</v>
      </c>
      <c r="D105" t="s">
        <v>156</v>
      </c>
      <c r="E105" t="s">
        <v>16</v>
      </c>
      <c r="F105" s="97" t="str">
        <f t="shared" si="17"/>
        <v>Reboco ExternoPANO1</v>
      </c>
      <c r="G105" s="80">
        <v>44628</v>
      </c>
      <c r="H105" s="80">
        <v>44634</v>
      </c>
      <c r="I105" s="105"/>
      <c r="J105" s="81"/>
      <c r="K105" s="81"/>
      <c r="L105" s="139">
        <f>IF(J105&gt;0,"executado",VLOOKUP(F105,REPLAN!$A$6:$C$127,2,0))</f>
        <v>44645</v>
      </c>
      <c r="M105" s="139">
        <f>IF(J105&gt;0,"executado",VLOOKUP(F105,REPLAN!$A$6:$C$127,3,0))</f>
        <v>44652</v>
      </c>
      <c r="N105" s="88">
        <v>126.22</v>
      </c>
      <c r="O105" s="88" t="s">
        <v>195</v>
      </c>
      <c r="P105" s="89">
        <f>VLOOKUP(B105,'CUSTO ATIVIDADE'!$A$1:$B$30,2,0)</f>
        <v>111.22574674641417</v>
      </c>
      <c r="Q105" s="91">
        <f t="shared" ref="Q105:Q106" si="28">P105*N105</f>
        <v>14038.913754332398</v>
      </c>
      <c r="R105" s="88">
        <f>VLOOKUP(G105,SEMANAS!$B$1:$C$301,2,0)</f>
        <v>16</v>
      </c>
      <c r="S105" s="88">
        <f>VLOOKUP(H105,SEMANAS!$B$1:$C$301,2,0)</f>
        <v>17</v>
      </c>
      <c r="T105" s="90">
        <f>VLOOKUP(B105,'MT-MO'!$A$3:$C$31,2,0)</f>
        <v>0.31851905468495528</v>
      </c>
      <c r="U105" s="90">
        <f>VLOOKUP(B105,'MT-MO'!$A$3:$C$31,3,0)</f>
        <v>0.68148094531504466</v>
      </c>
      <c r="V105" s="92">
        <f t="shared" si="18"/>
        <v>4471.6615378335719</v>
      </c>
      <c r="W105" s="92">
        <f t="shared" si="19"/>
        <v>9567.2522164988259</v>
      </c>
      <c r="X105" s="80">
        <f t="shared" si="20"/>
        <v>44613</v>
      </c>
      <c r="Y105" s="80">
        <f t="shared" si="21"/>
        <v>44649</v>
      </c>
      <c r="Z105" s="95" t="s">
        <v>159</v>
      </c>
      <c r="AA105" s="96" t="s">
        <v>394</v>
      </c>
      <c r="AB105" s="96" t="s">
        <v>395</v>
      </c>
      <c r="AC105" s="96" t="s">
        <v>295</v>
      </c>
      <c r="AD105" s="90">
        <v>1</v>
      </c>
      <c r="AE105" s="89">
        <f t="shared" ref="AE105:AE106" si="29">AD105*Q105</f>
        <v>14038.913754332398</v>
      </c>
      <c r="AF105" s="145" t="str">
        <f>IFERROR(VLOOKUP(K105,SEMANAS!$B$1:$C$301,2,0),"")</f>
        <v/>
      </c>
      <c r="AG105" s="102">
        <f t="shared" ref="AG105:AG106" si="30">Q105*I105</f>
        <v>0</v>
      </c>
      <c r="AH105" s="100">
        <f>IFERROR(VLOOKUP(L105,SEMANAS!$B$1:$C$301,2,0),"EXE")</f>
        <v>18</v>
      </c>
      <c r="AI105" s="100">
        <f>IFERROR(VLOOKUP(M105,SEMANAS!$B$1:$C$301,2,0),"EXE")</f>
        <v>19</v>
      </c>
      <c r="AJ105" s="101">
        <f>IF(AI105="EXE",0,Q105)</f>
        <v>14038.913754332398</v>
      </c>
    </row>
    <row r="106" spans="1:36">
      <c r="A106" t="s">
        <v>163</v>
      </c>
      <c r="B106" t="s">
        <v>164</v>
      </c>
      <c r="D106" t="s">
        <v>156</v>
      </c>
      <c r="E106" t="s">
        <v>16</v>
      </c>
      <c r="F106" s="97" t="str">
        <f t="shared" si="17"/>
        <v>Pintura Externa PANO1</v>
      </c>
      <c r="G106" s="80">
        <v>44715</v>
      </c>
      <c r="H106" s="80">
        <v>44721</v>
      </c>
      <c r="I106" s="105"/>
      <c r="J106" s="81"/>
      <c r="K106" s="81"/>
      <c r="L106" s="139">
        <f>IF(J106&gt;0,"executado",VLOOKUP(F106,REPLAN!$A$6:$C$127,2,0))</f>
        <v>44715</v>
      </c>
      <c r="M106" s="139">
        <f>IF(J106&gt;0,"executado",VLOOKUP(F106,REPLAN!$A$6:$C$127,3,0))</f>
        <v>44721</v>
      </c>
      <c r="N106" s="88">
        <v>126.22</v>
      </c>
      <c r="O106" s="88" t="s">
        <v>195</v>
      </c>
      <c r="P106" s="89">
        <f>VLOOKUP(B106,'CUSTO ATIVIDADE'!$A$1:$B$30,2,0)</f>
        <v>49.707079999999983</v>
      </c>
      <c r="Q106" s="91">
        <f t="shared" si="28"/>
        <v>6274.0276375999974</v>
      </c>
      <c r="R106" s="88">
        <f>VLOOKUP(G106,SEMANAS!$B$1:$C$301,2,0)</f>
        <v>28</v>
      </c>
      <c r="S106" s="88">
        <f>VLOOKUP(H106,SEMANAS!$B$1:$C$301,2,0)</f>
        <v>29</v>
      </c>
      <c r="T106" s="90">
        <f>VLOOKUP(B106,'MT-MO'!$A$3:$C$31,2,0)</f>
        <v>0.40235935644098908</v>
      </c>
      <c r="U106" s="90">
        <f>VLOOKUP(B106,'MT-MO'!$A$3:$C$31,3,0)</f>
        <v>0.59764064355901092</v>
      </c>
      <c r="V106" s="92">
        <f t="shared" si="18"/>
        <v>2524.4137225577142</v>
      </c>
      <c r="W106" s="92">
        <f t="shared" si="19"/>
        <v>3749.6139150422832</v>
      </c>
      <c r="X106" s="80">
        <f t="shared" si="20"/>
        <v>44700</v>
      </c>
      <c r="Y106" s="80">
        <f t="shared" si="21"/>
        <v>44736</v>
      </c>
      <c r="Z106" s="95" t="s">
        <v>159</v>
      </c>
      <c r="AA106" s="96" t="s">
        <v>394</v>
      </c>
      <c r="AB106" s="96" t="s">
        <v>396</v>
      </c>
      <c r="AC106" s="96" t="s">
        <v>295</v>
      </c>
      <c r="AD106" s="80"/>
      <c r="AE106" s="89">
        <f t="shared" si="29"/>
        <v>0</v>
      </c>
      <c r="AF106" s="145" t="str">
        <f>IFERROR(VLOOKUP(K106,SEMANAS!$B$1:$C$301,2,0),"")</f>
        <v/>
      </c>
      <c r="AG106" s="102">
        <f t="shared" si="30"/>
        <v>0</v>
      </c>
      <c r="AH106" s="100">
        <f>IFERROR(VLOOKUP(L106,SEMANAS!$B$1:$C$301,2,0),"EXE")</f>
        <v>28</v>
      </c>
      <c r="AI106" s="100">
        <f>IFERROR(VLOOKUP(M106,SEMANAS!$B$1:$C$301,2,0),"EXE")</f>
        <v>29</v>
      </c>
      <c r="AJ106" s="101">
        <f>IF(AI106="EXE",0,Q106)</f>
        <v>6274.0276375999974</v>
      </c>
    </row>
    <row r="107" spans="1:36">
      <c r="A107" s="108" t="s">
        <v>165</v>
      </c>
      <c r="B107" s="108" t="s">
        <v>166</v>
      </c>
      <c r="C107" s="108"/>
      <c r="D107" s="108"/>
      <c r="E107" s="108" t="s">
        <v>160</v>
      </c>
      <c r="F107" s="108" t="str">
        <f t="shared" si="17"/>
        <v>PANO2</v>
      </c>
      <c r="G107" s="109">
        <v>44635</v>
      </c>
      <c r="H107" s="109">
        <v>44728</v>
      </c>
      <c r="I107" s="110"/>
      <c r="J107" s="111"/>
      <c r="K107" s="111"/>
      <c r="L107" s="140"/>
      <c r="M107" s="108"/>
      <c r="N107" s="111"/>
      <c r="O107" s="111"/>
      <c r="P107" s="112"/>
      <c r="Q107" s="111"/>
      <c r="R107" s="111">
        <f>VLOOKUP(G107,SEMANAS!$B$1:$C$301,2,0)</f>
        <v>17</v>
      </c>
      <c r="S107" s="111">
        <f>VLOOKUP(H107,SEMANAS!$B$1:$C$301,2,0)</f>
        <v>30</v>
      </c>
      <c r="T107" s="110"/>
      <c r="U107" s="110"/>
      <c r="V107" s="113">
        <f t="shared" si="18"/>
        <v>0</v>
      </c>
      <c r="W107" s="113">
        <f t="shared" si="19"/>
        <v>0</v>
      </c>
      <c r="X107" s="109">
        <f t="shared" si="20"/>
        <v>44620</v>
      </c>
      <c r="Y107" s="109">
        <f t="shared" si="21"/>
        <v>44743</v>
      </c>
      <c r="Z107" s="106"/>
      <c r="AA107" s="107" t="s">
        <v>9</v>
      </c>
      <c r="AB107" s="107"/>
      <c r="AC107" s="107"/>
      <c r="AD107" s="110"/>
      <c r="AE107" s="109"/>
      <c r="AF107" s="144"/>
      <c r="AG107" s="114"/>
      <c r="AH107" s="111"/>
      <c r="AI107" s="111"/>
      <c r="AJ107" s="115"/>
    </row>
    <row r="108" spans="1:36">
      <c r="A108" t="s">
        <v>167</v>
      </c>
      <c r="B108" t="s">
        <v>162</v>
      </c>
      <c r="D108" t="s">
        <v>156</v>
      </c>
      <c r="E108" t="s">
        <v>16</v>
      </c>
      <c r="F108" s="97" t="str">
        <f t="shared" si="17"/>
        <v>Reboco ExternoPANO2</v>
      </c>
      <c r="G108" s="80">
        <v>44635</v>
      </c>
      <c r="H108" s="80">
        <v>44641</v>
      </c>
      <c r="I108" s="105"/>
      <c r="J108" s="81"/>
      <c r="K108" s="81"/>
      <c r="L108" s="139">
        <f>IF(J108&gt;0,"executado",VLOOKUP(F108,REPLAN!$A$6:$C$127,2,0))</f>
        <v>44652</v>
      </c>
      <c r="M108" s="139">
        <f>IF(J108&gt;0,"executado",VLOOKUP(F108,REPLAN!$A$6:$C$127,3,0))</f>
        <v>44659</v>
      </c>
      <c r="N108" s="88">
        <v>142.51</v>
      </c>
      <c r="O108" s="88" t="s">
        <v>195</v>
      </c>
      <c r="P108" s="89">
        <f>VLOOKUP(B108,'CUSTO ATIVIDADE'!$A$1:$B$30,2,0)</f>
        <v>111.22574674641417</v>
      </c>
      <c r="Q108" s="91">
        <f t="shared" ref="Q108:Q109" si="31">P108*N108</f>
        <v>15850.781168831483</v>
      </c>
      <c r="R108" s="88">
        <f>VLOOKUP(G108,SEMANAS!$B$1:$C$301,2,0)</f>
        <v>17</v>
      </c>
      <c r="S108" s="88">
        <f>VLOOKUP(H108,SEMANAS!$B$1:$C$301,2,0)</f>
        <v>18</v>
      </c>
      <c r="T108" s="90">
        <f>VLOOKUP(B108,'MT-MO'!$A$3:$C$31,2,0)</f>
        <v>0.31851905468495528</v>
      </c>
      <c r="U108" s="90">
        <f>VLOOKUP(B108,'MT-MO'!$A$3:$C$31,3,0)</f>
        <v>0.68148094531504466</v>
      </c>
      <c r="V108" s="92">
        <f t="shared" si="18"/>
        <v>5048.7758339142947</v>
      </c>
      <c r="W108" s="92">
        <f t="shared" si="19"/>
        <v>10802.005334917189</v>
      </c>
      <c r="X108" s="80">
        <f t="shared" si="20"/>
        <v>44620</v>
      </c>
      <c r="Y108" s="80">
        <f t="shared" si="21"/>
        <v>44656</v>
      </c>
      <c r="Z108" s="95" t="s">
        <v>166</v>
      </c>
      <c r="AA108" s="96" t="s">
        <v>397</v>
      </c>
      <c r="AB108" s="96" t="s">
        <v>395</v>
      </c>
      <c r="AC108" s="96" t="s">
        <v>295</v>
      </c>
      <c r="AD108" s="90">
        <v>0.5</v>
      </c>
      <c r="AE108" s="89">
        <f t="shared" ref="AE108:AE109" si="32">AD108*Q108</f>
        <v>7925.3905844157416</v>
      </c>
      <c r="AF108" s="145" t="str">
        <f>IFERROR(VLOOKUP(K108,SEMANAS!$B$1:$C$301,2,0),"")</f>
        <v/>
      </c>
      <c r="AG108" s="102">
        <f t="shared" ref="AG108:AG109" si="33">Q108*I108</f>
        <v>0</v>
      </c>
      <c r="AH108" s="100">
        <f>IFERROR(VLOOKUP(L108,SEMANAS!$B$1:$C$301,2,0),"EXE")</f>
        <v>19</v>
      </c>
      <c r="AI108" s="100">
        <f>IFERROR(VLOOKUP(M108,SEMANAS!$B$1:$C$301,2,0),"EXE")</f>
        <v>20</v>
      </c>
      <c r="AJ108" s="101">
        <f>IF(AI108="EXE",0,Q108)</f>
        <v>15850.781168831483</v>
      </c>
    </row>
    <row r="109" spans="1:36">
      <c r="A109" t="s">
        <v>168</v>
      </c>
      <c r="B109" t="s">
        <v>164</v>
      </c>
      <c r="D109" t="s">
        <v>156</v>
      </c>
      <c r="E109" t="s">
        <v>16</v>
      </c>
      <c r="F109" s="97" t="str">
        <f t="shared" si="17"/>
        <v>Pintura Externa PANO2</v>
      </c>
      <c r="G109" s="80">
        <v>44722</v>
      </c>
      <c r="H109" s="80">
        <v>44728</v>
      </c>
      <c r="I109" s="105"/>
      <c r="J109" s="81"/>
      <c r="K109" s="81"/>
      <c r="L109" s="139">
        <f>IF(J109&gt;0,"executado",VLOOKUP(F109,REPLAN!$A$6:$C$127,2,0))</f>
        <v>44722</v>
      </c>
      <c r="M109" s="139">
        <f>IF(J109&gt;0,"executado",VLOOKUP(F109,REPLAN!$A$6:$C$127,3,0))</f>
        <v>44728</v>
      </c>
      <c r="N109" s="88">
        <v>142.51</v>
      </c>
      <c r="O109" s="88" t="s">
        <v>195</v>
      </c>
      <c r="P109" s="89">
        <f>VLOOKUP(B109,'CUSTO ATIVIDADE'!$A$1:$B$30,2,0)</f>
        <v>49.707079999999983</v>
      </c>
      <c r="Q109" s="91">
        <f t="shared" si="31"/>
        <v>7083.7559707999972</v>
      </c>
      <c r="R109" s="88">
        <f>VLOOKUP(G109,SEMANAS!$B$1:$C$301,2,0)</f>
        <v>29</v>
      </c>
      <c r="S109" s="88">
        <f>VLOOKUP(H109,SEMANAS!$B$1:$C$301,2,0)</f>
        <v>30</v>
      </c>
      <c r="T109" s="90">
        <f>VLOOKUP(B109,'MT-MO'!$A$3:$C$31,2,0)</f>
        <v>0.40235935644098908</v>
      </c>
      <c r="U109" s="90">
        <f>VLOOKUP(B109,'MT-MO'!$A$3:$C$31,3,0)</f>
        <v>0.59764064355901092</v>
      </c>
      <c r="V109" s="92">
        <f t="shared" si="18"/>
        <v>2850.2154935961007</v>
      </c>
      <c r="W109" s="92">
        <f t="shared" si="19"/>
        <v>4233.5404772038964</v>
      </c>
      <c r="X109" s="80">
        <f t="shared" si="20"/>
        <v>44707</v>
      </c>
      <c r="Y109" s="80">
        <f t="shared" si="21"/>
        <v>44743</v>
      </c>
      <c r="Z109" s="95" t="s">
        <v>166</v>
      </c>
      <c r="AA109" s="96" t="s">
        <v>397</v>
      </c>
      <c r="AB109" s="96" t="s">
        <v>396</v>
      </c>
      <c r="AC109" s="96" t="s">
        <v>295</v>
      </c>
      <c r="AD109" s="80"/>
      <c r="AE109" s="89">
        <f t="shared" si="32"/>
        <v>0</v>
      </c>
      <c r="AF109" s="145" t="str">
        <f>IFERROR(VLOOKUP(K109,SEMANAS!$B$1:$C$301,2,0),"")</f>
        <v/>
      </c>
      <c r="AG109" s="102">
        <f t="shared" si="33"/>
        <v>0</v>
      </c>
      <c r="AH109" s="100">
        <f>IFERROR(VLOOKUP(L109,SEMANAS!$B$1:$C$301,2,0),"EXE")</f>
        <v>29</v>
      </c>
      <c r="AI109" s="100">
        <f>IFERROR(VLOOKUP(M109,SEMANAS!$B$1:$C$301,2,0),"EXE")</f>
        <v>30</v>
      </c>
      <c r="AJ109" s="101">
        <f>IF(AI109="EXE",0,Q109)</f>
        <v>7083.7559707999972</v>
      </c>
    </row>
    <row r="110" spans="1:36">
      <c r="A110" s="108" t="s">
        <v>169</v>
      </c>
      <c r="B110" s="108" t="s">
        <v>170</v>
      </c>
      <c r="C110" s="108"/>
      <c r="D110" s="108"/>
      <c r="E110" s="108" t="s">
        <v>160</v>
      </c>
      <c r="F110" s="108" t="str">
        <f t="shared" si="17"/>
        <v>PANO3</v>
      </c>
      <c r="G110" s="109">
        <v>44642</v>
      </c>
      <c r="H110" s="109">
        <v>44735</v>
      </c>
      <c r="I110" s="110"/>
      <c r="J110" s="111"/>
      <c r="K110" s="111"/>
      <c r="L110" s="140"/>
      <c r="M110" s="108"/>
      <c r="N110" s="111"/>
      <c r="O110" s="111"/>
      <c r="P110" s="112"/>
      <c r="Q110" s="111"/>
      <c r="R110" s="111">
        <f>VLOOKUP(G110,SEMANAS!$B$1:$C$301,2,0)</f>
        <v>18</v>
      </c>
      <c r="S110" s="111">
        <f>VLOOKUP(H110,SEMANAS!$B$1:$C$301,2,0)</f>
        <v>31</v>
      </c>
      <c r="T110" s="110"/>
      <c r="U110" s="110"/>
      <c r="V110" s="113">
        <f t="shared" si="18"/>
        <v>0</v>
      </c>
      <c r="W110" s="113">
        <f t="shared" si="19"/>
        <v>0</v>
      </c>
      <c r="X110" s="109">
        <f t="shared" si="20"/>
        <v>44627</v>
      </c>
      <c r="Y110" s="109">
        <f t="shared" si="21"/>
        <v>44750</v>
      </c>
      <c r="Z110" s="106"/>
      <c r="AA110" s="107" t="s">
        <v>9</v>
      </c>
      <c r="AB110" s="107"/>
      <c r="AC110" s="107"/>
      <c r="AD110" s="109"/>
      <c r="AE110" s="109"/>
      <c r="AF110" s="144"/>
      <c r="AG110" s="114"/>
      <c r="AH110" s="111"/>
      <c r="AI110" s="111"/>
      <c r="AJ110" s="115"/>
    </row>
    <row r="111" spans="1:36">
      <c r="A111" t="s">
        <v>171</v>
      </c>
      <c r="B111" t="s">
        <v>162</v>
      </c>
      <c r="D111" t="s">
        <v>156</v>
      </c>
      <c r="E111" t="s">
        <v>16</v>
      </c>
      <c r="F111" s="97" t="str">
        <f t="shared" si="17"/>
        <v>Reboco ExternoPANO3</v>
      </c>
      <c r="G111" s="80">
        <v>44642</v>
      </c>
      <c r="H111" s="80">
        <v>44648</v>
      </c>
      <c r="I111" s="105"/>
      <c r="J111" s="81"/>
      <c r="K111" s="81"/>
      <c r="L111" s="139">
        <f>IF(J111&gt;0,"executado",VLOOKUP(F111,REPLAN!$A$6:$C$127,2,0))</f>
        <v>44659</v>
      </c>
      <c r="M111" s="139">
        <f>IF(J111&gt;0,"executado",VLOOKUP(F111,REPLAN!$A$6:$C$127,3,0))</f>
        <v>44666</v>
      </c>
      <c r="N111" s="88">
        <v>113.41</v>
      </c>
      <c r="O111" s="88" t="s">
        <v>195</v>
      </c>
      <c r="P111" s="89">
        <f>VLOOKUP(B111,'CUSTO ATIVIDADE'!$A$1:$B$30,2,0)</f>
        <v>111.22574674641417</v>
      </c>
      <c r="Q111" s="91">
        <f t="shared" ref="Q111:Q112" si="34">P111*N111</f>
        <v>12614.11193851083</v>
      </c>
      <c r="R111" s="88">
        <f>VLOOKUP(G111,SEMANAS!$B$1:$C$301,2,0)</f>
        <v>18</v>
      </c>
      <c r="S111" s="88">
        <f>VLOOKUP(H111,SEMANAS!$B$1:$C$301,2,0)</f>
        <v>19</v>
      </c>
      <c r="T111" s="90">
        <f>VLOOKUP(B111,'MT-MO'!$A$3:$C$31,2,0)</f>
        <v>0.31851905468495528</v>
      </c>
      <c r="U111" s="90">
        <f>VLOOKUP(B111,'MT-MO'!$A$3:$C$31,3,0)</f>
        <v>0.68148094531504466</v>
      </c>
      <c r="V111" s="92">
        <f t="shared" si="18"/>
        <v>4017.8350103446783</v>
      </c>
      <c r="W111" s="92">
        <f t="shared" si="19"/>
        <v>8596.2769281661513</v>
      </c>
      <c r="X111" s="80">
        <f t="shared" si="20"/>
        <v>44627</v>
      </c>
      <c r="Y111" s="80">
        <f t="shared" si="21"/>
        <v>44663</v>
      </c>
      <c r="Z111" s="95" t="s">
        <v>170</v>
      </c>
      <c r="AA111" s="96" t="s">
        <v>398</v>
      </c>
      <c r="AB111" s="96" t="s">
        <v>395</v>
      </c>
      <c r="AC111" s="96" t="s">
        <v>295</v>
      </c>
      <c r="AD111" s="80"/>
      <c r="AE111" s="89">
        <f t="shared" ref="AE111:AE112" si="35">AD111*Q111</f>
        <v>0</v>
      </c>
      <c r="AF111" s="145" t="str">
        <f>IFERROR(VLOOKUP(K111,SEMANAS!$B$1:$C$301,2,0),"")</f>
        <v/>
      </c>
      <c r="AG111" s="102">
        <f t="shared" ref="AG111:AG112" si="36">Q111*I111</f>
        <v>0</v>
      </c>
      <c r="AH111" s="100">
        <f>IFERROR(VLOOKUP(L111,SEMANAS!$B$1:$C$301,2,0),"EXE")</f>
        <v>20</v>
      </c>
      <c r="AI111" s="100">
        <f>IFERROR(VLOOKUP(M111,SEMANAS!$B$1:$C$301,2,0),"EXE")</f>
        <v>21</v>
      </c>
      <c r="AJ111" s="101">
        <f>IF(AI111="EXE",0,Q111)</f>
        <v>12614.11193851083</v>
      </c>
    </row>
    <row r="112" spans="1:36">
      <c r="A112" t="s">
        <v>172</v>
      </c>
      <c r="B112" t="s">
        <v>164</v>
      </c>
      <c r="D112" t="s">
        <v>156</v>
      </c>
      <c r="E112" t="s">
        <v>16</v>
      </c>
      <c r="F112" s="97" t="str">
        <f t="shared" si="17"/>
        <v>Pintura Externa PANO3</v>
      </c>
      <c r="G112" s="80">
        <v>44729</v>
      </c>
      <c r="H112" s="80">
        <v>44735</v>
      </c>
      <c r="I112" s="105"/>
      <c r="J112" s="81"/>
      <c r="K112" s="81"/>
      <c r="L112" s="139">
        <f>IF(J112&gt;0,"executado",VLOOKUP(F112,REPLAN!$A$6:$C$127,2,0))</f>
        <v>44729</v>
      </c>
      <c r="M112" s="139">
        <f>IF(J112&gt;0,"executado",VLOOKUP(F112,REPLAN!$A$6:$C$127,3,0))</f>
        <v>44735</v>
      </c>
      <c r="N112" s="88">
        <v>113.41</v>
      </c>
      <c r="O112" s="88" t="s">
        <v>195</v>
      </c>
      <c r="P112" s="89">
        <f>VLOOKUP(B112,'CUSTO ATIVIDADE'!$A$1:$B$30,2,0)</f>
        <v>49.707079999999983</v>
      </c>
      <c r="Q112" s="91">
        <f t="shared" si="34"/>
        <v>5637.279942799998</v>
      </c>
      <c r="R112" s="88">
        <f>VLOOKUP(G112,SEMANAS!$B$1:$C$301,2,0)</f>
        <v>30</v>
      </c>
      <c r="S112" s="88">
        <f>VLOOKUP(H112,SEMANAS!$B$1:$C$301,2,0)</f>
        <v>31</v>
      </c>
      <c r="T112" s="90">
        <f>VLOOKUP(B112,'MT-MO'!$A$3:$C$31,2,0)</f>
        <v>0.40235935644098908</v>
      </c>
      <c r="U112" s="90">
        <f>VLOOKUP(B112,'MT-MO'!$A$3:$C$31,3,0)</f>
        <v>0.59764064355901092</v>
      </c>
      <c r="V112" s="92">
        <f t="shared" si="18"/>
        <v>2268.212329862703</v>
      </c>
      <c r="W112" s="92">
        <f t="shared" si="19"/>
        <v>3369.0676129372951</v>
      </c>
      <c r="X112" s="80">
        <f t="shared" si="20"/>
        <v>44714</v>
      </c>
      <c r="Y112" s="80">
        <f t="shared" si="21"/>
        <v>44750</v>
      </c>
      <c r="Z112" s="95" t="s">
        <v>170</v>
      </c>
      <c r="AA112" s="96" t="s">
        <v>398</v>
      </c>
      <c r="AB112" s="96" t="s">
        <v>396</v>
      </c>
      <c r="AC112" s="96" t="s">
        <v>295</v>
      </c>
      <c r="AD112" s="80"/>
      <c r="AE112" s="89">
        <f t="shared" si="35"/>
        <v>0</v>
      </c>
      <c r="AF112" s="145" t="str">
        <f>IFERROR(VLOOKUP(K112,SEMANAS!$B$1:$C$301,2,0),"")</f>
        <v/>
      </c>
      <c r="AG112" s="102">
        <f t="shared" si="36"/>
        <v>0</v>
      </c>
      <c r="AH112" s="100">
        <f>IFERROR(VLOOKUP(L112,SEMANAS!$B$1:$C$301,2,0),"EXE")</f>
        <v>30</v>
      </c>
      <c r="AI112" s="100">
        <f>IFERROR(VLOOKUP(M112,SEMANAS!$B$1:$C$301,2,0),"EXE")</f>
        <v>31</v>
      </c>
      <c r="AJ112" s="101">
        <f>IF(AI112="EXE",0,Q112)</f>
        <v>5637.279942799998</v>
      </c>
    </row>
    <row r="113" spans="1:36">
      <c r="A113" s="108" t="s">
        <v>173</v>
      </c>
      <c r="B113" s="108" t="s">
        <v>174</v>
      </c>
      <c r="C113" s="108"/>
      <c r="D113" s="108"/>
      <c r="E113" s="108" t="s">
        <v>160</v>
      </c>
      <c r="F113" s="108" t="str">
        <f t="shared" si="17"/>
        <v>PANO4</v>
      </c>
      <c r="G113" s="109">
        <v>44649</v>
      </c>
      <c r="H113" s="109">
        <v>44742</v>
      </c>
      <c r="I113" s="110"/>
      <c r="J113" s="111"/>
      <c r="K113" s="111"/>
      <c r="L113" s="140"/>
      <c r="M113" s="108"/>
      <c r="N113" s="111"/>
      <c r="O113" s="111"/>
      <c r="P113" s="112"/>
      <c r="Q113" s="111"/>
      <c r="R113" s="111">
        <f>VLOOKUP(G113,SEMANAS!$B$1:$C$301,2,0)</f>
        <v>19</v>
      </c>
      <c r="S113" s="111">
        <f>VLOOKUP(H113,SEMANAS!$B$1:$C$301,2,0)</f>
        <v>32</v>
      </c>
      <c r="T113" s="110"/>
      <c r="U113" s="110"/>
      <c r="V113" s="113">
        <f t="shared" si="18"/>
        <v>0</v>
      </c>
      <c r="W113" s="113">
        <f t="shared" si="19"/>
        <v>0</v>
      </c>
      <c r="X113" s="109">
        <f t="shared" si="20"/>
        <v>44634</v>
      </c>
      <c r="Y113" s="109">
        <f t="shared" si="21"/>
        <v>44757</v>
      </c>
      <c r="Z113" s="106"/>
      <c r="AA113" s="107" t="s">
        <v>9</v>
      </c>
      <c r="AB113" s="107"/>
      <c r="AC113" s="107"/>
      <c r="AD113" s="109"/>
      <c r="AE113" s="109"/>
      <c r="AF113" s="144"/>
      <c r="AG113" s="114"/>
      <c r="AH113" s="111"/>
      <c r="AI113" s="111"/>
      <c r="AJ113" s="115"/>
    </row>
    <row r="114" spans="1:36">
      <c r="A114" t="s">
        <v>175</v>
      </c>
      <c r="B114" t="s">
        <v>162</v>
      </c>
      <c r="D114" t="s">
        <v>156</v>
      </c>
      <c r="E114" t="s">
        <v>16</v>
      </c>
      <c r="F114" s="97" t="str">
        <f t="shared" si="17"/>
        <v>Reboco ExternoPANO4</v>
      </c>
      <c r="G114" s="80">
        <v>44649</v>
      </c>
      <c r="H114" s="80">
        <v>44655</v>
      </c>
      <c r="I114" s="105"/>
      <c r="J114" s="81"/>
      <c r="K114" s="81"/>
      <c r="L114" s="139">
        <f>IF(J114&gt;0,"executado",VLOOKUP(F114,REPLAN!$A$6:$C$127,2,0))</f>
        <v>44666</v>
      </c>
      <c r="M114" s="139">
        <f>IF(J114&gt;0,"executado",VLOOKUP(F114,REPLAN!$A$6:$C$127,3,0))</f>
        <v>44673</v>
      </c>
      <c r="N114" s="88">
        <v>124.84</v>
      </c>
      <c r="O114" s="88" t="s">
        <v>195</v>
      </c>
      <c r="P114" s="89">
        <f>VLOOKUP(B114,'CUSTO ATIVIDADE'!$A$1:$B$30,2,0)</f>
        <v>111.22574674641417</v>
      </c>
      <c r="Q114" s="91">
        <f t="shared" ref="Q114:Q115" si="37">P114*N114</f>
        <v>13885.422223822346</v>
      </c>
      <c r="R114" s="88">
        <f>VLOOKUP(G114,SEMANAS!$B$1:$C$301,2,0)</f>
        <v>19</v>
      </c>
      <c r="S114" s="88">
        <f>VLOOKUP(H114,SEMANAS!$B$1:$C$301,2,0)</f>
        <v>20</v>
      </c>
      <c r="T114" s="90">
        <f>VLOOKUP(B114,'MT-MO'!$A$3:$C$31,2,0)</f>
        <v>0.31851905468495528</v>
      </c>
      <c r="U114" s="90">
        <f>VLOOKUP(B114,'MT-MO'!$A$3:$C$31,3,0)</f>
        <v>0.68148094531504466</v>
      </c>
      <c r="V114" s="92">
        <f t="shared" si="18"/>
        <v>4422.7715606333632</v>
      </c>
      <c r="W114" s="92">
        <f t="shared" si="19"/>
        <v>9462.6506631889824</v>
      </c>
      <c r="X114" s="80">
        <f t="shared" si="20"/>
        <v>44634</v>
      </c>
      <c r="Y114" s="80">
        <f t="shared" si="21"/>
        <v>44670</v>
      </c>
      <c r="Z114" s="95" t="s">
        <v>174</v>
      </c>
      <c r="AA114" s="96" t="s">
        <v>399</v>
      </c>
      <c r="AB114" s="96" t="s">
        <v>395</v>
      </c>
      <c r="AC114" s="96" t="s">
        <v>295</v>
      </c>
      <c r="AD114" s="80"/>
      <c r="AE114" s="89">
        <f t="shared" ref="AE114:AE115" si="38">AD114*Q114</f>
        <v>0</v>
      </c>
      <c r="AF114" s="145" t="str">
        <f>IFERROR(VLOOKUP(K114,SEMANAS!$B$1:$C$301,2,0),"")</f>
        <v/>
      </c>
      <c r="AG114" s="102">
        <f t="shared" ref="AG114:AG115" si="39">Q114*I114</f>
        <v>0</v>
      </c>
      <c r="AH114" s="100">
        <f>IFERROR(VLOOKUP(L114,SEMANAS!$B$1:$C$301,2,0),"EXE")</f>
        <v>21</v>
      </c>
      <c r="AI114" s="100">
        <f>IFERROR(VLOOKUP(M114,SEMANAS!$B$1:$C$301,2,0),"EXE")</f>
        <v>22</v>
      </c>
      <c r="AJ114" s="101">
        <f>IF(AI114="EXE",0,Q114)</f>
        <v>13885.422223822346</v>
      </c>
    </row>
    <row r="115" spans="1:36">
      <c r="A115" t="s">
        <v>176</v>
      </c>
      <c r="B115" t="s">
        <v>164</v>
      </c>
      <c r="D115" t="s">
        <v>156</v>
      </c>
      <c r="E115" t="s">
        <v>16</v>
      </c>
      <c r="F115" s="97" t="str">
        <f t="shared" si="17"/>
        <v>Pintura Externa PANO4</v>
      </c>
      <c r="G115" s="80">
        <v>44736</v>
      </c>
      <c r="H115" s="80">
        <v>44742</v>
      </c>
      <c r="I115" s="105"/>
      <c r="J115" s="81"/>
      <c r="K115" s="81"/>
      <c r="L115" s="139">
        <f>IF(J115&gt;0,"executado",VLOOKUP(F115,REPLAN!$A$6:$C$127,2,0))</f>
        <v>44736</v>
      </c>
      <c r="M115" s="139">
        <f>IF(J115&gt;0,"executado",VLOOKUP(F115,REPLAN!$A$6:$C$127,3,0))</f>
        <v>44742</v>
      </c>
      <c r="N115" s="88">
        <v>124.84</v>
      </c>
      <c r="O115" s="88" t="s">
        <v>195</v>
      </c>
      <c r="P115" s="89">
        <f>VLOOKUP(B115,'CUSTO ATIVIDADE'!$A$1:$B$30,2,0)</f>
        <v>49.707079999999983</v>
      </c>
      <c r="Q115" s="91">
        <f t="shared" si="37"/>
        <v>6205.4318671999981</v>
      </c>
      <c r="R115" s="88">
        <f>VLOOKUP(G115,SEMANAS!$B$1:$C$301,2,0)</f>
        <v>31</v>
      </c>
      <c r="S115" s="88">
        <f>VLOOKUP(H115,SEMANAS!$B$1:$C$301,2,0)</f>
        <v>32</v>
      </c>
      <c r="T115" s="90">
        <f>VLOOKUP(B115,'MT-MO'!$A$3:$C$31,2,0)</f>
        <v>0.40235935644098908</v>
      </c>
      <c r="U115" s="90">
        <f>VLOOKUP(B115,'MT-MO'!$A$3:$C$31,3,0)</f>
        <v>0.59764064355901092</v>
      </c>
      <c r="V115" s="92">
        <f t="shared" si="18"/>
        <v>2496.8135725249963</v>
      </c>
      <c r="W115" s="92">
        <f t="shared" si="19"/>
        <v>3708.6182946750018</v>
      </c>
      <c r="X115" s="80">
        <f t="shared" si="20"/>
        <v>44721</v>
      </c>
      <c r="Y115" s="80">
        <f t="shared" si="21"/>
        <v>44757</v>
      </c>
      <c r="Z115" s="95" t="s">
        <v>174</v>
      </c>
      <c r="AA115" s="96" t="s">
        <v>399</v>
      </c>
      <c r="AB115" s="96" t="s">
        <v>396</v>
      </c>
      <c r="AC115" s="96" t="s">
        <v>295</v>
      </c>
      <c r="AD115" s="80"/>
      <c r="AE115" s="89">
        <f t="shared" si="38"/>
        <v>0</v>
      </c>
      <c r="AF115" s="145" t="str">
        <f>IFERROR(VLOOKUP(K115,SEMANAS!$B$1:$C$301,2,0),"")</f>
        <v/>
      </c>
      <c r="AG115" s="102">
        <f t="shared" si="39"/>
        <v>0</v>
      </c>
      <c r="AH115" s="100">
        <f>IFERROR(VLOOKUP(L115,SEMANAS!$B$1:$C$301,2,0),"EXE")</f>
        <v>31</v>
      </c>
      <c r="AI115" s="100">
        <f>IFERROR(VLOOKUP(M115,SEMANAS!$B$1:$C$301,2,0),"EXE")</f>
        <v>32</v>
      </c>
      <c r="AJ115" s="101">
        <f>IF(AI115="EXE",0,Q115)</f>
        <v>6205.4318671999981</v>
      </c>
    </row>
    <row r="116" spans="1:36">
      <c r="A116" s="108" t="s">
        <v>177</v>
      </c>
      <c r="B116" s="108" t="s">
        <v>178</v>
      </c>
      <c r="C116" s="108"/>
      <c r="D116" s="108"/>
      <c r="E116" s="108" t="s">
        <v>160</v>
      </c>
      <c r="F116" s="108" t="str">
        <f t="shared" si="17"/>
        <v>PANO5</v>
      </c>
      <c r="G116" s="109">
        <v>44656</v>
      </c>
      <c r="H116" s="109">
        <v>44749</v>
      </c>
      <c r="I116" s="110"/>
      <c r="J116" s="111"/>
      <c r="K116" s="111"/>
      <c r="L116" s="140"/>
      <c r="M116" s="108"/>
      <c r="N116" s="111"/>
      <c r="O116" s="111"/>
      <c r="P116" s="112"/>
      <c r="Q116" s="111"/>
      <c r="R116" s="111">
        <f>VLOOKUP(G116,SEMANAS!$B$1:$C$301,2,0)</f>
        <v>20</v>
      </c>
      <c r="S116" s="111">
        <f>VLOOKUP(H116,SEMANAS!$B$1:$C$301,2,0)</f>
        <v>33</v>
      </c>
      <c r="T116" s="110"/>
      <c r="U116" s="110"/>
      <c r="V116" s="113">
        <f t="shared" si="18"/>
        <v>0</v>
      </c>
      <c r="W116" s="113">
        <f t="shared" si="19"/>
        <v>0</v>
      </c>
      <c r="X116" s="109">
        <f t="shared" si="20"/>
        <v>44641</v>
      </c>
      <c r="Y116" s="109">
        <f t="shared" si="21"/>
        <v>44764</v>
      </c>
      <c r="Z116" s="106"/>
      <c r="AA116" s="107" t="s">
        <v>9</v>
      </c>
      <c r="AB116" s="107"/>
      <c r="AC116" s="107"/>
      <c r="AD116" s="109"/>
      <c r="AE116" s="109"/>
      <c r="AF116" s="144"/>
      <c r="AG116" s="114"/>
      <c r="AH116" s="111"/>
      <c r="AI116" s="111"/>
      <c r="AJ116" s="115"/>
    </row>
    <row r="117" spans="1:36">
      <c r="A117" t="s">
        <v>179</v>
      </c>
      <c r="B117" t="s">
        <v>162</v>
      </c>
      <c r="D117" t="s">
        <v>156</v>
      </c>
      <c r="E117" t="s">
        <v>16</v>
      </c>
      <c r="F117" s="97" t="str">
        <f t="shared" si="17"/>
        <v>Reboco ExternoPANO5</v>
      </c>
      <c r="G117" s="80">
        <v>44656</v>
      </c>
      <c r="H117" s="80">
        <v>44662</v>
      </c>
      <c r="I117" s="105"/>
      <c r="J117" s="81"/>
      <c r="K117" s="81"/>
      <c r="L117" s="139">
        <f>IF(J117&gt;0,"executado",VLOOKUP(F117,REPLAN!$A$6:$C$127,2,0))</f>
        <v>44673</v>
      </c>
      <c r="M117" s="139">
        <f>IF(J117&gt;0,"executado",VLOOKUP(F117,REPLAN!$A$6:$C$127,3,0))</f>
        <v>44680</v>
      </c>
      <c r="N117" s="88">
        <v>138.44</v>
      </c>
      <c r="O117" s="88" t="s">
        <v>195</v>
      </c>
      <c r="P117" s="89">
        <f>VLOOKUP(B117,'CUSTO ATIVIDADE'!$A$1:$B$30,2,0)</f>
        <v>111.22574674641417</v>
      </c>
      <c r="Q117" s="91">
        <f t="shared" ref="Q117:Q118" si="40">P117*N117</f>
        <v>15398.092379573578</v>
      </c>
      <c r="R117" s="88">
        <f>VLOOKUP(G117,SEMANAS!$B$1:$C$301,2,0)</f>
        <v>20</v>
      </c>
      <c r="S117" s="88">
        <f>VLOOKUP(H117,SEMANAS!$B$1:$C$301,2,0)</f>
        <v>21</v>
      </c>
      <c r="T117" s="90">
        <f>VLOOKUP(B117,'MT-MO'!$A$3:$C$31,2,0)</f>
        <v>0.31851905468495528</v>
      </c>
      <c r="U117" s="90">
        <f>VLOOKUP(B117,'MT-MO'!$A$3:$C$31,3,0)</f>
        <v>0.68148094531504466</v>
      </c>
      <c r="V117" s="92">
        <f t="shared" si="18"/>
        <v>4904.5858286933899</v>
      </c>
      <c r="W117" s="92">
        <f t="shared" si="19"/>
        <v>10493.506550880187</v>
      </c>
      <c r="X117" s="80">
        <f t="shared" si="20"/>
        <v>44641</v>
      </c>
      <c r="Y117" s="80">
        <f t="shared" si="21"/>
        <v>44677</v>
      </c>
      <c r="Z117" s="95" t="s">
        <v>178</v>
      </c>
      <c r="AA117" s="96" t="s">
        <v>400</v>
      </c>
      <c r="AB117" s="96" t="s">
        <v>395</v>
      </c>
      <c r="AC117" s="96" t="s">
        <v>295</v>
      </c>
      <c r="AD117" s="80"/>
      <c r="AE117" s="89">
        <f t="shared" ref="AE117:AE118" si="41">AD117*Q117</f>
        <v>0</v>
      </c>
      <c r="AF117" s="145" t="str">
        <f>IFERROR(VLOOKUP(K117,SEMANAS!$B$1:$C$301,2,0),"")</f>
        <v/>
      </c>
      <c r="AG117" s="102">
        <f t="shared" ref="AG117:AG118" si="42">Q117*I117</f>
        <v>0</v>
      </c>
      <c r="AH117" s="100">
        <f>IFERROR(VLOOKUP(L117,SEMANAS!$B$1:$C$301,2,0),"EXE")</f>
        <v>22</v>
      </c>
      <c r="AI117" s="100">
        <f>IFERROR(VLOOKUP(M117,SEMANAS!$B$1:$C$301,2,0),"EXE")</f>
        <v>23</v>
      </c>
      <c r="AJ117" s="101">
        <f>IF(AI117="EXE",0,Q117)</f>
        <v>15398.092379573578</v>
      </c>
    </row>
    <row r="118" spans="1:36">
      <c r="A118" t="s">
        <v>180</v>
      </c>
      <c r="B118" t="s">
        <v>164</v>
      </c>
      <c r="D118" t="s">
        <v>156</v>
      </c>
      <c r="E118" t="s">
        <v>16</v>
      </c>
      <c r="F118" s="97" t="str">
        <f t="shared" si="17"/>
        <v>Pintura Externa PANO5</v>
      </c>
      <c r="G118" s="80">
        <v>44743</v>
      </c>
      <c r="H118" s="80">
        <v>44749</v>
      </c>
      <c r="I118" s="105"/>
      <c r="J118" s="81"/>
      <c r="K118" s="81"/>
      <c r="L118" s="139">
        <f>IF(J118&gt;0,"executado",VLOOKUP(F118,REPLAN!$A$6:$C$127,2,0))</f>
        <v>44743</v>
      </c>
      <c r="M118" s="139">
        <f>IF(J118&gt;0,"executado",VLOOKUP(F118,REPLAN!$A$6:$C$127,3,0))</f>
        <v>44749</v>
      </c>
      <c r="N118" s="88">
        <v>138.44</v>
      </c>
      <c r="O118" s="88" t="s">
        <v>195</v>
      </c>
      <c r="P118" s="89">
        <f>VLOOKUP(B118,'CUSTO ATIVIDADE'!$A$1:$B$30,2,0)</f>
        <v>49.707079999999983</v>
      </c>
      <c r="Q118" s="91">
        <f t="shared" si="40"/>
        <v>6881.4481551999979</v>
      </c>
      <c r="R118" s="88">
        <f>VLOOKUP(G118,SEMANAS!$B$1:$C$301,2,0)</f>
        <v>32</v>
      </c>
      <c r="S118" s="88">
        <f>VLOOKUP(H118,SEMANAS!$B$1:$C$301,2,0)</f>
        <v>33</v>
      </c>
      <c r="T118" s="90">
        <f>VLOOKUP(B118,'MT-MO'!$A$3:$C$31,2,0)</f>
        <v>0.40235935644098908</v>
      </c>
      <c r="U118" s="90">
        <f>VLOOKUP(B118,'MT-MO'!$A$3:$C$31,3,0)</f>
        <v>0.59764064355901092</v>
      </c>
      <c r="V118" s="92">
        <f t="shared" si="18"/>
        <v>2768.8150511083027</v>
      </c>
      <c r="W118" s="92">
        <f t="shared" si="19"/>
        <v>4112.6331040916948</v>
      </c>
      <c r="X118" s="80">
        <f t="shared" si="20"/>
        <v>44728</v>
      </c>
      <c r="Y118" s="80">
        <f t="shared" si="21"/>
        <v>44764</v>
      </c>
      <c r="Z118" s="95" t="s">
        <v>178</v>
      </c>
      <c r="AA118" s="96" t="s">
        <v>400</v>
      </c>
      <c r="AB118" s="96" t="s">
        <v>396</v>
      </c>
      <c r="AC118" s="96" t="s">
        <v>295</v>
      </c>
      <c r="AD118" s="80"/>
      <c r="AE118" s="89">
        <f t="shared" si="41"/>
        <v>0</v>
      </c>
      <c r="AF118" s="145" t="str">
        <f>IFERROR(VLOOKUP(K118,SEMANAS!$B$1:$C$301,2,0),"")</f>
        <v/>
      </c>
      <c r="AG118" s="102">
        <f t="shared" si="42"/>
        <v>0</v>
      </c>
      <c r="AH118" s="100">
        <f>IFERROR(VLOOKUP(L118,SEMANAS!$B$1:$C$301,2,0),"EXE")</f>
        <v>32</v>
      </c>
      <c r="AI118" s="100">
        <f>IFERROR(VLOOKUP(M118,SEMANAS!$B$1:$C$301,2,0),"EXE")</f>
        <v>33</v>
      </c>
      <c r="AJ118" s="101">
        <f>IF(AI118="EXE",0,Q118)</f>
        <v>6881.4481551999979</v>
      </c>
    </row>
    <row r="119" spans="1:36">
      <c r="A119" s="108" t="s">
        <v>181</v>
      </c>
      <c r="B119" s="108" t="s">
        <v>182</v>
      </c>
      <c r="C119" s="108"/>
      <c r="D119" s="108"/>
      <c r="E119" s="108" t="s">
        <v>160</v>
      </c>
      <c r="F119" s="108" t="str">
        <f t="shared" si="17"/>
        <v>PANO6</v>
      </c>
      <c r="G119" s="109">
        <v>44663</v>
      </c>
      <c r="H119" s="109">
        <v>44756</v>
      </c>
      <c r="I119" s="110"/>
      <c r="J119" s="111"/>
      <c r="K119" s="111"/>
      <c r="L119" s="140"/>
      <c r="M119" s="108"/>
      <c r="N119" s="111"/>
      <c r="O119" s="111"/>
      <c r="P119" s="112"/>
      <c r="Q119" s="111"/>
      <c r="R119" s="111">
        <f>VLOOKUP(G119,SEMANAS!$B$1:$C$301,2,0)</f>
        <v>21</v>
      </c>
      <c r="S119" s="111">
        <f>VLOOKUP(H119,SEMANAS!$B$1:$C$301,2,0)</f>
        <v>34</v>
      </c>
      <c r="T119" s="110"/>
      <c r="U119" s="110"/>
      <c r="V119" s="113">
        <f t="shared" si="18"/>
        <v>0</v>
      </c>
      <c r="W119" s="113">
        <f t="shared" si="19"/>
        <v>0</v>
      </c>
      <c r="X119" s="109">
        <f t="shared" si="20"/>
        <v>44648</v>
      </c>
      <c r="Y119" s="109">
        <f t="shared" si="21"/>
        <v>44771</v>
      </c>
      <c r="Z119" s="106"/>
      <c r="AA119" s="107" t="s">
        <v>9</v>
      </c>
      <c r="AB119" s="107"/>
      <c r="AC119" s="107"/>
      <c r="AD119" s="109"/>
      <c r="AE119" s="109"/>
      <c r="AF119" s="144"/>
      <c r="AG119" s="114"/>
      <c r="AH119" s="111"/>
      <c r="AI119" s="111"/>
      <c r="AJ119" s="115"/>
    </row>
    <row r="120" spans="1:36">
      <c r="A120" t="s">
        <v>183</v>
      </c>
      <c r="B120" t="s">
        <v>162</v>
      </c>
      <c r="D120" t="s">
        <v>156</v>
      </c>
      <c r="E120" t="s">
        <v>16</v>
      </c>
      <c r="F120" s="97" t="str">
        <f t="shared" si="17"/>
        <v>Reboco ExternoPANO6</v>
      </c>
      <c r="G120" s="80">
        <v>44663</v>
      </c>
      <c r="H120" s="80">
        <v>44669</v>
      </c>
      <c r="I120" s="105"/>
      <c r="J120" s="81"/>
      <c r="K120" s="81"/>
      <c r="L120" s="139">
        <f>IF(J120&gt;0,"executado",VLOOKUP(F120,REPLAN!$A$6:$C$127,2,0))</f>
        <v>44680</v>
      </c>
      <c r="M120" s="139">
        <f>IF(J120&gt;0,"executado",VLOOKUP(F120,REPLAN!$A$6:$C$127,3,0))</f>
        <v>44687</v>
      </c>
      <c r="N120" s="88">
        <v>99.85</v>
      </c>
      <c r="O120" s="88" t="s">
        <v>195</v>
      </c>
      <c r="P120" s="89">
        <f>VLOOKUP(B120,'CUSTO ATIVIDADE'!$A$1:$B$30,2,0)</f>
        <v>111.22574674641417</v>
      </c>
      <c r="Q120" s="91">
        <f t="shared" ref="Q120:Q121" si="43">P120*N120</f>
        <v>11105.890812629455</v>
      </c>
      <c r="R120" s="88">
        <f>VLOOKUP(G120,SEMANAS!$B$1:$C$301,2,0)</f>
        <v>21</v>
      </c>
      <c r="S120" s="88">
        <f>VLOOKUP(H120,SEMANAS!$B$1:$C$301,2,0)</f>
        <v>22</v>
      </c>
      <c r="T120" s="90">
        <f>VLOOKUP(B120,'MT-MO'!$A$3:$C$31,2,0)</f>
        <v>0.31851905468495528</v>
      </c>
      <c r="U120" s="90">
        <f>VLOOKUP(B120,'MT-MO'!$A$3:$C$31,3,0)</f>
        <v>0.68148094531504466</v>
      </c>
      <c r="V120" s="92">
        <f t="shared" si="18"/>
        <v>3537.437843073064</v>
      </c>
      <c r="W120" s="92">
        <f t="shared" si="19"/>
        <v>7568.4529695563906</v>
      </c>
      <c r="X120" s="80">
        <f t="shared" si="20"/>
        <v>44648</v>
      </c>
      <c r="Y120" s="80">
        <f t="shared" si="21"/>
        <v>44684</v>
      </c>
      <c r="Z120" s="95" t="s">
        <v>182</v>
      </c>
      <c r="AA120" s="96" t="s">
        <v>401</v>
      </c>
      <c r="AB120" s="96" t="s">
        <v>395</v>
      </c>
      <c r="AC120" s="96" t="s">
        <v>295</v>
      </c>
      <c r="AD120" s="80"/>
      <c r="AE120" s="89">
        <f t="shared" ref="AE120:AE121" si="44">AD120*Q120</f>
        <v>0</v>
      </c>
      <c r="AF120" s="145" t="str">
        <f>IFERROR(VLOOKUP(K120,SEMANAS!$B$1:$C$301,2,0),"")</f>
        <v/>
      </c>
      <c r="AG120" s="102">
        <f t="shared" ref="AG120:AG121" si="45">Q120*I120</f>
        <v>0</v>
      </c>
      <c r="AH120" s="100">
        <f>IFERROR(VLOOKUP(L120,SEMANAS!$B$1:$C$301,2,0),"EXE")</f>
        <v>23</v>
      </c>
      <c r="AI120" s="100">
        <f>IFERROR(VLOOKUP(M120,SEMANAS!$B$1:$C$301,2,0),"EXE")</f>
        <v>24</v>
      </c>
      <c r="AJ120" s="101">
        <f>IF(AI120="EXE",0,Q120)</f>
        <v>11105.890812629455</v>
      </c>
    </row>
    <row r="121" spans="1:36">
      <c r="A121" t="s">
        <v>184</v>
      </c>
      <c r="B121" t="s">
        <v>164</v>
      </c>
      <c r="D121" t="s">
        <v>156</v>
      </c>
      <c r="E121" t="s">
        <v>16</v>
      </c>
      <c r="F121" s="97" t="str">
        <f t="shared" si="17"/>
        <v>Pintura Externa PANO6</v>
      </c>
      <c r="G121" s="80">
        <v>44750</v>
      </c>
      <c r="H121" s="80">
        <v>44756</v>
      </c>
      <c r="I121" s="105"/>
      <c r="J121" s="81"/>
      <c r="K121" s="81"/>
      <c r="L121" s="139">
        <f>IF(J121&gt;0,"executado",VLOOKUP(F121,REPLAN!$A$6:$C$127,2,0))</f>
        <v>44750</v>
      </c>
      <c r="M121" s="139">
        <f>IF(J121&gt;0,"executado",VLOOKUP(F121,REPLAN!$A$6:$C$127,3,0))</f>
        <v>44756</v>
      </c>
      <c r="N121" s="88">
        <v>99.85</v>
      </c>
      <c r="O121" s="88" t="s">
        <v>195</v>
      </c>
      <c r="P121" s="89">
        <f>VLOOKUP(B121,'CUSTO ATIVIDADE'!$A$1:$B$30,2,0)</f>
        <v>49.707079999999983</v>
      </c>
      <c r="Q121" s="91">
        <f t="shared" si="43"/>
        <v>4963.2519379999985</v>
      </c>
      <c r="R121" s="88">
        <f>VLOOKUP(G121,SEMANAS!$B$1:$C$301,2,0)</f>
        <v>33</v>
      </c>
      <c r="S121" s="88">
        <f>VLOOKUP(H121,SEMANAS!$B$1:$C$301,2,0)</f>
        <v>34</v>
      </c>
      <c r="T121" s="90">
        <f>VLOOKUP(B121,'MT-MO'!$A$3:$C$31,2,0)</f>
        <v>0.40235935644098908</v>
      </c>
      <c r="U121" s="90">
        <f>VLOOKUP(B121,'MT-MO'!$A$3:$C$31,3,0)</f>
        <v>0.59764064355901092</v>
      </c>
      <c r="V121" s="92">
        <f t="shared" si="18"/>
        <v>1997.0108556281712</v>
      </c>
      <c r="W121" s="92">
        <f t="shared" si="19"/>
        <v>2966.2410823718274</v>
      </c>
      <c r="X121" s="80">
        <f t="shared" si="20"/>
        <v>44735</v>
      </c>
      <c r="Y121" s="80">
        <f t="shared" si="21"/>
        <v>44771</v>
      </c>
      <c r="Z121" s="95" t="s">
        <v>182</v>
      </c>
      <c r="AA121" s="96" t="s">
        <v>401</v>
      </c>
      <c r="AB121" s="96" t="s">
        <v>396</v>
      </c>
      <c r="AC121" s="96" t="s">
        <v>295</v>
      </c>
      <c r="AD121" s="80"/>
      <c r="AE121" s="89">
        <f t="shared" si="44"/>
        <v>0</v>
      </c>
      <c r="AF121" s="145" t="str">
        <f>IFERROR(VLOOKUP(K121,SEMANAS!$B$1:$C$301,2,0),"")</f>
        <v/>
      </c>
      <c r="AG121" s="102">
        <f t="shared" si="45"/>
        <v>0</v>
      </c>
      <c r="AH121" s="100">
        <f>IFERROR(VLOOKUP(L121,SEMANAS!$B$1:$C$301,2,0),"EXE")</f>
        <v>33</v>
      </c>
      <c r="AI121" s="100">
        <f>IFERROR(VLOOKUP(M121,SEMANAS!$B$1:$C$301,2,0),"EXE")</f>
        <v>34</v>
      </c>
      <c r="AJ121" s="101">
        <f>IF(AI121="EXE",0,Q121)</f>
        <v>4963.2519379999985</v>
      </c>
    </row>
    <row r="122" spans="1:36">
      <c r="AG122" s="3"/>
    </row>
    <row r="123" spans="1:36">
      <c r="AG123" s="3"/>
    </row>
    <row r="124" spans="1:36">
      <c r="AG124" s="3"/>
    </row>
    <row r="125" spans="1:36">
      <c r="AG125" s="3"/>
    </row>
    <row r="126" spans="1:36">
      <c r="AG126" s="3"/>
    </row>
  </sheetData>
  <autoFilter ref="A2:AJ121" xr:uid="{00000000-0001-0000-0200-000000000000}">
    <filterColumn colId="8">
      <filters blank="1"/>
    </filterColumn>
  </autoFilter>
  <mergeCells count="10">
    <mergeCell ref="AF1:AG1"/>
    <mergeCell ref="AD1:AE1"/>
    <mergeCell ref="AH1:AJ1"/>
    <mergeCell ref="J1:K1"/>
    <mergeCell ref="G1:H1"/>
    <mergeCell ref="L1:M1"/>
    <mergeCell ref="Z1:AC1"/>
    <mergeCell ref="R1:S1"/>
    <mergeCell ref="T1:Y1"/>
    <mergeCell ref="N1:Q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4AA4-5783-4263-96ED-F0B4E8556731}">
  <dimension ref="A1:D32"/>
  <sheetViews>
    <sheetView workbookViewId="0">
      <selection activeCell="D32" sqref="D32"/>
    </sheetView>
  </sheetViews>
  <sheetFormatPr defaultRowHeight="15"/>
  <cols>
    <col min="1" max="1" width="30.5703125" bestFit="1" customWidth="1"/>
    <col min="3" max="3" width="12" bestFit="1" customWidth="1"/>
    <col min="5" max="5" width="26.42578125" bestFit="1" customWidth="1"/>
  </cols>
  <sheetData>
    <row r="1" spans="1:4">
      <c r="A1" t="s">
        <v>220</v>
      </c>
      <c r="B1" t="s">
        <v>221</v>
      </c>
    </row>
    <row r="2" spans="1:4">
      <c r="A2" t="s">
        <v>206</v>
      </c>
      <c r="B2" t="s">
        <v>222</v>
      </c>
      <c r="C2" t="s">
        <v>223</v>
      </c>
      <c r="D2" t="s">
        <v>203</v>
      </c>
    </row>
    <row r="3" spans="1:4">
      <c r="A3" t="s">
        <v>155</v>
      </c>
      <c r="B3" s="32">
        <v>0.24772096710265556</v>
      </c>
      <c r="C3" s="32">
        <v>0.75227903289734444</v>
      </c>
      <c r="D3" s="32">
        <v>1</v>
      </c>
    </row>
    <row r="4" spans="1:4">
      <c r="A4" t="s">
        <v>224</v>
      </c>
      <c r="B4" s="32">
        <v>0.13858702989570013</v>
      </c>
      <c r="C4" s="32">
        <v>0.86141297010429985</v>
      </c>
      <c r="D4" s="32">
        <v>1</v>
      </c>
    </row>
    <row r="5" spans="1:4">
      <c r="A5" t="s">
        <v>45</v>
      </c>
      <c r="B5" s="32">
        <v>0.57761004134961225</v>
      </c>
      <c r="C5" s="32">
        <v>0.42238995865038781</v>
      </c>
      <c r="D5" s="32">
        <v>1</v>
      </c>
    </row>
    <row r="6" spans="1:4">
      <c r="A6" t="s">
        <v>225</v>
      </c>
      <c r="B6" s="32">
        <v>1</v>
      </c>
      <c r="C6" s="32">
        <v>0</v>
      </c>
      <c r="D6" s="32">
        <v>1</v>
      </c>
    </row>
    <row r="7" spans="1:4">
      <c r="A7" t="s">
        <v>226</v>
      </c>
      <c r="B7" s="32">
        <v>1</v>
      </c>
      <c r="C7" s="32">
        <v>0</v>
      </c>
      <c r="D7" s="32">
        <v>1</v>
      </c>
    </row>
    <row r="8" spans="1:4">
      <c r="A8" t="s">
        <v>49</v>
      </c>
      <c r="B8" s="32">
        <v>0.19811320754716982</v>
      </c>
      <c r="C8" s="32">
        <v>0.80188679245283023</v>
      </c>
      <c r="D8" s="32">
        <v>1</v>
      </c>
    </row>
    <row r="9" spans="1:4">
      <c r="A9" t="s">
        <v>227</v>
      </c>
      <c r="B9" s="32">
        <v>0.78946296026779217</v>
      </c>
      <c r="C9" s="32">
        <v>0.21053703973220783</v>
      </c>
      <c r="D9" s="32">
        <v>1</v>
      </c>
    </row>
    <row r="10" spans="1:4">
      <c r="A10" t="s">
        <v>228</v>
      </c>
      <c r="B10" s="32">
        <v>0.38396280966583479</v>
      </c>
      <c r="C10" s="32">
        <v>0.61603719033416515</v>
      </c>
      <c r="D10" s="32">
        <v>1</v>
      </c>
    </row>
    <row r="11" spans="1:4">
      <c r="A11" t="s">
        <v>229</v>
      </c>
      <c r="B11" s="32">
        <v>0.62323497906319991</v>
      </c>
      <c r="C11" s="32">
        <v>0.37676502093680009</v>
      </c>
      <c r="D11" s="32">
        <v>1</v>
      </c>
    </row>
    <row r="12" spans="1:4">
      <c r="A12" t="s">
        <v>230</v>
      </c>
      <c r="B12" s="32">
        <v>0.31868131868131866</v>
      </c>
      <c r="C12" s="32">
        <v>0.68131868131868134</v>
      </c>
      <c r="D12" s="32">
        <v>1</v>
      </c>
    </row>
    <row r="13" spans="1:4">
      <c r="A13" t="s">
        <v>231</v>
      </c>
      <c r="B13" s="32">
        <v>0.45986419526518629</v>
      </c>
      <c r="C13" s="32">
        <v>0.54013580473481371</v>
      </c>
      <c r="D13" s="32">
        <v>1</v>
      </c>
    </row>
    <row r="14" spans="1:4">
      <c r="A14" t="s">
        <v>232</v>
      </c>
      <c r="B14" s="32">
        <v>1</v>
      </c>
      <c r="C14" s="32">
        <v>0</v>
      </c>
      <c r="D14" s="32">
        <v>1</v>
      </c>
    </row>
    <row r="15" spans="1:4">
      <c r="A15" t="s">
        <v>233</v>
      </c>
      <c r="B15" s="32">
        <v>0.35672482024413354</v>
      </c>
      <c r="C15" s="32">
        <v>0.64327517975586646</v>
      </c>
      <c r="D15" s="32">
        <v>1</v>
      </c>
    </row>
    <row r="16" spans="1:4">
      <c r="A16" t="s">
        <v>234</v>
      </c>
      <c r="B16" s="32">
        <v>0.56523337008452779</v>
      </c>
      <c r="C16" s="32">
        <v>0.43476662991547227</v>
      </c>
      <c r="D16" s="32">
        <v>1</v>
      </c>
    </row>
    <row r="17" spans="1:4">
      <c r="A17" t="s">
        <v>235</v>
      </c>
      <c r="B17" s="32">
        <v>0.15279568352194051</v>
      </c>
      <c r="C17" s="32">
        <v>0.84720431647805949</v>
      </c>
      <c r="D17" s="32">
        <v>1</v>
      </c>
    </row>
    <row r="18" spans="1:4">
      <c r="A18" t="s">
        <v>67</v>
      </c>
      <c r="B18" s="32">
        <v>0.44776119402985076</v>
      </c>
      <c r="C18" s="32">
        <v>0.55223880597014929</v>
      </c>
      <c r="D18" s="32">
        <v>1</v>
      </c>
    </row>
    <row r="19" spans="1:4">
      <c r="A19" t="s">
        <v>164</v>
      </c>
      <c r="B19" s="32">
        <v>0.40235935644098908</v>
      </c>
      <c r="C19" s="32">
        <v>0.59764064355901092</v>
      </c>
      <c r="D19" s="32">
        <v>1</v>
      </c>
    </row>
    <row r="20" spans="1:4">
      <c r="A20" t="s">
        <v>236</v>
      </c>
      <c r="B20" s="32">
        <v>1</v>
      </c>
      <c r="C20" s="32">
        <v>0</v>
      </c>
      <c r="D20" s="32">
        <v>1</v>
      </c>
    </row>
    <row r="21" spans="1:4">
      <c r="A21" t="s">
        <v>237</v>
      </c>
      <c r="B21" s="32">
        <v>0.52623399439170238</v>
      </c>
      <c r="C21" s="32">
        <v>0.47376600560829757</v>
      </c>
      <c r="D21" s="32">
        <v>1</v>
      </c>
    </row>
    <row r="22" spans="1:4">
      <c r="A22" t="s">
        <v>65</v>
      </c>
      <c r="B22" s="32">
        <v>0.15351618107620765</v>
      </c>
      <c r="C22" s="32">
        <v>0.84648381892379232</v>
      </c>
      <c r="D22" s="32">
        <v>1</v>
      </c>
    </row>
    <row r="23" spans="1:4">
      <c r="A23" t="s">
        <v>238</v>
      </c>
      <c r="B23" s="32">
        <v>0.15384615384615385</v>
      </c>
      <c r="C23" s="32">
        <v>0.84615384615384615</v>
      </c>
      <c r="D23" s="32">
        <v>1</v>
      </c>
    </row>
    <row r="24" spans="1:4">
      <c r="A24" t="s">
        <v>239</v>
      </c>
      <c r="B24" s="32">
        <v>0.31851905468495528</v>
      </c>
      <c r="C24" s="32">
        <v>0.68148094531504466</v>
      </c>
      <c r="D24" s="32">
        <v>1</v>
      </c>
    </row>
    <row r="25" spans="1:4">
      <c r="A25" t="s">
        <v>240</v>
      </c>
      <c r="B25" s="32">
        <v>0.26486813778256191</v>
      </c>
      <c r="C25" s="32">
        <v>0.73513186221743809</v>
      </c>
      <c r="D25" s="32">
        <v>1</v>
      </c>
    </row>
    <row r="26" spans="1:4">
      <c r="A26" t="s">
        <v>57</v>
      </c>
      <c r="B26" s="32">
        <v>0.28742225293711127</v>
      </c>
      <c r="C26" s="32">
        <v>0.71257774706288879</v>
      </c>
      <c r="D26" s="32">
        <v>1</v>
      </c>
    </row>
    <row r="27" spans="1:4">
      <c r="A27" t="s">
        <v>241</v>
      </c>
      <c r="B27" s="32">
        <v>0.62478082992402106</v>
      </c>
      <c r="C27" s="32">
        <v>0.37521917007597894</v>
      </c>
      <c r="D27" s="32">
        <v>1</v>
      </c>
    </row>
    <row r="28" spans="1:4">
      <c r="A28" t="s">
        <v>153</v>
      </c>
      <c r="B28" s="32">
        <v>0.48683772728162372</v>
      </c>
      <c r="C28" s="32">
        <v>0.51316227271837633</v>
      </c>
      <c r="D28" s="32">
        <v>1</v>
      </c>
    </row>
    <row r="29" spans="1:4">
      <c r="A29" t="s">
        <v>242</v>
      </c>
      <c r="B29" s="32">
        <v>0.25730234417382863</v>
      </c>
      <c r="C29" s="32">
        <v>0.74269765582617142</v>
      </c>
      <c r="D29" s="32">
        <v>1</v>
      </c>
    </row>
    <row r="30" spans="1:4">
      <c r="A30" t="s">
        <v>243</v>
      </c>
      <c r="B30" s="32">
        <v>0.54167046916318939</v>
      </c>
      <c r="C30" s="32">
        <v>0.45832953083681055</v>
      </c>
      <c r="D30" s="32">
        <v>1</v>
      </c>
    </row>
    <row r="31" spans="1:4">
      <c r="A31" t="s">
        <v>43</v>
      </c>
      <c r="B31" s="32">
        <v>0.45815899581589958</v>
      </c>
      <c r="C31" s="32">
        <v>0.54184100418410042</v>
      </c>
      <c r="D31" s="32">
        <v>1</v>
      </c>
    </row>
    <row r="32" spans="1:4">
      <c r="A32" t="s">
        <v>69</v>
      </c>
      <c r="B32" s="32">
        <v>0.45</v>
      </c>
      <c r="C32" s="32">
        <v>0.55000000000000004</v>
      </c>
      <c r="D32" s="32">
        <v>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85BA-A6CE-4C9E-BA9C-C083633BC2FD}">
  <dimension ref="A1:H45"/>
  <sheetViews>
    <sheetView workbookViewId="0">
      <selection activeCell="G17" sqref="G17"/>
    </sheetView>
  </sheetViews>
  <sheetFormatPr defaultRowHeight="15"/>
  <cols>
    <col min="1" max="1" width="18" bestFit="1" customWidth="1"/>
    <col min="2" max="2" width="15.85546875" style="5" bestFit="1" customWidth="1"/>
    <col min="4" max="4" width="18" style="5" bestFit="1" customWidth="1"/>
    <col min="5" max="5" width="22.7109375" style="5" bestFit="1" customWidth="1"/>
    <col min="6" max="6" width="5.28515625" customWidth="1"/>
    <col min="7" max="7" width="18" style="5" bestFit="1" customWidth="1"/>
    <col min="8" max="8" width="22.7109375" style="5" bestFit="1" customWidth="1"/>
  </cols>
  <sheetData>
    <row r="1" spans="1:8">
      <c r="A1" s="117" t="s">
        <v>210</v>
      </c>
      <c r="B1" s="117"/>
      <c r="D1" s="134" t="s">
        <v>211</v>
      </c>
      <c r="E1" s="134"/>
      <c r="G1" s="152" t="s">
        <v>287</v>
      </c>
      <c r="H1" s="153"/>
    </row>
    <row r="2" spans="1:8">
      <c r="A2" s="8" t="s">
        <v>3</v>
      </c>
      <c r="B2" s="5" t="s">
        <v>208</v>
      </c>
      <c r="D2" s="8" t="s">
        <v>206</v>
      </c>
      <c r="E2" t="s">
        <v>520</v>
      </c>
      <c r="G2" s="8" t="s">
        <v>206</v>
      </c>
      <c r="H2" t="s">
        <v>522</v>
      </c>
    </row>
    <row r="3" spans="1:8">
      <c r="D3" s="9">
        <v>1</v>
      </c>
      <c r="E3" s="10">
        <v>2720.5459262193999</v>
      </c>
      <c r="G3" s="9">
        <v>18</v>
      </c>
      <c r="H3" s="10">
        <v>14440.019210118191</v>
      </c>
    </row>
    <row r="4" spans="1:8">
      <c r="A4" s="8" t="s">
        <v>206</v>
      </c>
      <c r="B4" s="5" t="s">
        <v>207</v>
      </c>
      <c r="D4" s="9">
        <v>3</v>
      </c>
      <c r="E4" s="10">
        <v>34352.038177708891</v>
      </c>
      <c r="G4" s="9">
        <v>19</v>
      </c>
      <c r="H4" s="10">
        <v>66117.058232475945</v>
      </c>
    </row>
    <row r="5" spans="1:8">
      <c r="A5" s="9">
        <v>1</v>
      </c>
      <c r="B5" s="5">
        <v>2720.5459262193999</v>
      </c>
      <c r="D5" s="9">
        <v>4</v>
      </c>
      <c r="E5" s="10">
        <v>70031.197680562909</v>
      </c>
      <c r="G5" s="9">
        <v>20</v>
      </c>
      <c r="H5" s="10">
        <v>22167.888539709144</v>
      </c>
    </row>
    <row r="6" spans="1:8">
      <c r="A6" s="9">
        <v>3</v>
      </c>
      <c r="B6" s="5">
        <v>34352.038177708891</v>
      </c>
      <c r="D6" s="9">
        <v>5</v>
      </c>
      <c r="E6" s="10">
        <v>350</v>
      </c>
      <c r="G6" s="9">
        <v>21</v>
      </c>
      <c r="H6" s="10">
        <v>19170.163309388492</v>
      </c>
    </row>
    <row r="7" spans="1:8">
      <c r="A7" s="9">
        <v>4</v>
      </c>
      <c r="B7" s="5">
        <v>70031.197680562909</v>
      </c>
      <c r="D7" s="9">
        <v>7</v>
      </c>
      <c r="E7" s="10">
        <v>34911.872504763036</v>
      </c>
      <c r="G7" s="9">
        <v>22</v>
      </c>
      <c r="H7" s="10">
        <v>14124.366223822346</v>
      </c>
    </row>
    <row r="8" spans="1:8">
      <c r="A8" s="9">
        <v>5</v>
      </c>
      <c r="B8" s="5">
        <v>350</v>
      </c>
      <c r="D8" s="9">
        <v>8</v>
      </c>
      <c r="E8" s="10">
        <v>96574.526590207359</v>
      </c>
      <c r="G8" s="9">
        <v>23</v>
      </c>
      <c r="H8" s="10">
        <v>46165.113441975125</v>
      </c>
    </row>
    <row r="9" spans="1:8">
      <c r="A9" s="9">
        <v>7</v>
      </c>
      <c r="B9" s="5">
        <v>34911.872504763036</v>
      </c>
      <c r="D9" s="9">
        <v>10</v>
      </c>
      <c r="E9" s="10">
        <v>64892.403720577204</v>
      </c>
      <c r="G9" s="9">
        <v>24</v>
      </c>
      <c r="H9" s="10">
        <v>31780.6438458267</v>
      </c>
    </row>
    <row r="10" spans="1:8">
      <c r="A10" s="9">
        <v>8</v>
      </c>
      <c r="B10" s="5">
        <v>96574.526590207359</v>
      </c>
      <c r="D10" s="9">
        <v>11</v>
      </c>
      <c r="E10" s="10">
        <v>96852.167818661153</v>
      </c>
      <c r="G10" s="9">
        <v>25</v>
      </c>
      <c r="H10" s="10">
        <v>27247.071913197247</v>
      </c>
    </row>
    <row r="11" spans="1:8">
      <c r="A11" s="9">
        <v>9</v>
      </c>
      <c r="B11" s="5">
        <v>64892.403720577204</v>
      </c>
      <c r="D11" s="9">
        <v>12</v>
      </c>
      <c r="E11" s="10">
        <v>64892.403720577204</v>
      </c>
      <c r="G11" s="9">
        <v>26</v>
      </c>
      <c r="H11" s="10">
        <v>27247.071913197247</v>
      </c>
    </row>
    <row r="12" spans="1:8">
      <c r="A12" s="9">
        <v>10</v>
      </c>
      <c r="B12" s="5">
        <v>96852.167818661153</v>
      </c>
      <c r="D12" s="9">
        <v>13</v>
      </c>
      <c r="E12" s="10">
        <v>96852.167818661153</v>
      </c>
      <c r="G12" s="9">
        <v>27</v>
      </c>
      <c r="H12" s="10">
        <v>6811.262880000002</v>
      </c>
    </row>
    <row r="13" spans="1:8">
      <c r="A13" s="9">
        <v>11</v>
      </c>
      <c r="B13" s="5">
        <v>64892.403720577204</v>
      </c>
      <c r="D13" s="9">
        <v>15</v>
      </c>
      <c r="E13" s="10">
        <v>78348.292930695403</v>
      </c>
      <c r="G13" s="9">
        <v>28</v>
      </c>
      <c r="H13" s="10">
        <v>33311.262880000002</v>
      </c>
    </row>
    <row r="14" spans="1:8">
      <c r="A14" s="9">
        <v>12</v>
      </c>
      <c r="B14" s="5">
        <v>96852.167818661153</v>
      </c>
      <c r="D14" s="9">
        <v>16</v>
      </c>
      <c r="E14" s="10">
        <v>179475.12537198013</v>
      </c>
      <c r="G14" s="9">
        <v>29</v>
      </c>
      <c r="H14" s="10">
        <v>37908.546824200734</v>
      </c>
    </row>
    <row r="15" spans="1:8">
      <c r="A15" s="9">
        <v>13</v>
      </c>
      <c r="B15" s="5">
        <v>64892.403720577204</v>
      </c>
      <c r="D15" s="9">
        <v>17</v>
      </c>
      <c r="E15" s="10">
        <v>34692.955250007151</v>
      </c>
      <c r="G15" s="9">
        <v>30</v>
      </c>
      <c r="H15" s="10">
        <v>38718.275157400727</v>
      </c>
    </row>
    <row r="16" spans="1:8">
      <c r="A16" s="9">
        <v>14</v>
      </c>
      <c r="B16" s="5">
        <v>110308.05702877935</v>
      </c>
      <c r="D16" s="9"/>
      <c r="E16" s="10">
        <v>13455.889210118192</v>
      </c>
      <c r="G16" s="9">
        <v>31</v>
      </c>
      <c r="H16" s="10">
        <v>40969.462991550732</v>
      </c>
    </row>
    <row r="17" spans="1:8">
      <c r="A17" s="9">
        <v>15</v>
      </c>
      <c r="B17" s="5">
        <v>81638.827553318988</v>
      </c>
      <c r="D17" s="9" t="s">
        <v>519</v>
      </c>
      <c r="E17" s="10"/>
      <c r="G17" s="9">
        <v>32</v>
      </c>
      <c r="H17" s="10">
        <v>18655.047635927975</v>
      </c>
    </row>
    <row r="18" spans="1:8">
      <c r="A18" s="9">
        <v>16</v>
      </c>
      <c r="B18" s="5">
        <v>34692.955250007151</v>
      </c>
      <c r="D18" s="9" t="s">
        <v>203</v>
      </c>
      <c r="E18" s="10">
        <v>868401.58672073914</v>
      </c>
      <c r="G18" s="9">
        <v>33</v>
      </c>
      <c r="H18" s="10">
        <v>28996.226646811025</v>
      </c>
    </row>
    <row r="19" spans="1:8">
      <c r="A19" s="9">
        <v>17</v>
      </c>
      <c r="B19" s="5">
        <v>28478.932964450589</v>
      </c>
      <c r="G19" s="9">
        <v>34</v>
      </c>
      <c r="H19" s="10">
        <v>32314.053901611023</v>
      </c>
    </row>
    <row r="20" spans="1:8">
      <c r="A20" s="9">
        <v>18</v>
      </c>
      <c r="B20" s="5">
        <v>16834.911168831484</v>
      </c>
      <c r="G20" s="9">
        <v>35</v>
      </c>
      <c r="H20" s="10">
        <v>49689.161573461031</v>
      </c>
    </row>
    <row r="21" spans="1:8">
      <c r="A21" s="9">
        <v>19</v>
      </c>
      <c r="B21" s="5">
        <v>67850.810102093208</v>
      </c>
      <c r="G21" s="9">
        <v>36</v>
      </c>
      <c r="H21" s="10">
        <v>43607.648799062677</v>
      </c>
    </row>
    <row r="22" spans="1:8">
      <c r="A22" s="9">
        <v>20</v>
      </c>
      <c r="B22" s="5">
        <v>20441.473594700008</v>
      </c>
      <c r="G22" s="9">
        <v>37</v>
      </c>
      <c r="H22" s="10">
        <v>23571.943417578896</v>
      </c>
    </row>
    <row r="23" spans="1:8">
      <c r="A23" s="9">
        <v>21</v>
      </c>
      <c r="B23" s="5">
        <v>18795.590065012409</v>
      </c>
      <c r="G23" s="9">
        <v>38</v>
      </c>
      <c r="H23" s="10">
        <v>19960.05752010403</v>
      </c>
    </row>
    <row r="24" spans="1:8">
      <c r="A24" s="9">
        <v>22</v>
      </c>
      <c r="B24" s="5">
        <v>31780.6438458267</v>
      </c>
      <c r="G24" s="9">
        <v>39</v>
      </c>
      <c r="H24" s="10">
        <v>23647.417520104031</v>
      </c>
    </row>
    <row r="25" spans="1:8">
      <c r="A25" s="9">
        <v>23</v>
      </c>
      <c r="B25" s="5">
        <v>30767.021062401549</v>
      </c>
      <c r="G25" s="9">
        <v>40</v>
      </c>
      <c r="H25" s="10">
        <v>3687.3599999999997</v>
      </c>
    </row>
    <row r="26" spans="1:8">
      <c r="A26" s="9">
        <v>24</v>
      </c>
      <c r="B26" s="5">
        <v>27247.071913197247</v>
      </c>
      <c r="G26" s="9">
        <v>41</v>
      </c>
      <c r="H26" s="10">
        <v>4687.3599999999997</v>
      </c>
    </row>
    <row r="27" spans="1:8">
      <c r="A27" s="9">
        <v>25</v>
      </c>
      <c r="B27" s="5">
        <v>27247.071913197247</v>
      </c>
      <c r="G27" s="9">
        <v>42</v>
      </c>
      <c r="H27" s="10">
        <v>4687.3599999999997</v>
      </c>
    </row>
    <row r="28" spans="1:8">
      <c r="A28" s="9">
        <v>26</v>
      </c>
      <c r="B28" s="5">
        <v>6811.262880000002</v>
      </c>
      <c r="G28" s="9" t="s">
        <v>521</v>
      </c>
      <c r="H28" s="10">
        <v>0</v>
      </c>
    </row>
    <row r="29" spans="1:8">
      <c r="A29" s="9">
        <v>27</v>
      </c>
      <c r="B29" s="5">
        <v>33311.262880000002</v>
      </c>
      <c r="G29" s="9" t="s">
        <v>519</v>
      </c>
      <c r="H29" s="10"/>
    </row>
    <row r="30" spans="1:8">
      <c r="A30" s="9">
        <v>28</v>
      </c>
      <c r="B30" s="5">
        <v>31634.519186600734</v>
      </c>
      <c r="G30" s="9" t="s">
        <v>203</v>
      </c>
      <c r="H30" s="10">
        <v>679681.84437752317</v>
      </c>
    </row>
    <row r="31" spans="1:8">
      <c r="A31" s="9">
        <v>29</v>
      </c>
      <c r="B31" s="5">
        <v>37908.546824200734</v>
      </c>
      <c r="G31"/>
      <c r="H31"/>
    </row>
    <row r="32" spans="1:8">
      <c r="A32" s="9">
        <v>30</v>
      </c>
      <c r="B32" s="5">
        <v>41015.939019550729</v>
      </c>
    </row>
    <row r="33" spans="1:2">
      <c r="A33" s="9">
        <v>31</v>
      </c>
      <c r="B33" s="5">
        <v>18086.895711527977</v>
      </c>
    </row>
    <row r="34" spans="1:2">
      <c r="A34" s="9">
        <v>32</v>
      </c>
      <c r="B34" s="5">
        <v>28320.210358811022</v>
      </c>
    </row>
    <row r="35" spans="1:2">
      <c r="A35" s="9">
        <v>33</v>
      </c>
      <c r="B35" s="5">
        <v>28996.226646811021</v>
      </c>
    </row>
    <row r="36" spans="1:2">
      <c r="A36" s="9">
        <v>34</v>
      </c>
      <c r="B36" s="5">
        <v>30016.390039461025</v>
      </c>
    </row>
    <row r="37" spans="1:2">
      <c r="A37" s="9">
        <v>35</v>
      </c>
      <c r="B37" s="5">
        <v>46071.728853483786</v>
      </c>
    </row>
    <row r="38" spans="1:2">
      <c r="A38" s="9">
        <v>36</v>
      </c>
      <c r="B38" s="5">
        <v>39207.966889578893</v>
      </c>
    </row>
    <row r="39" spans="1:2">
      <c r="A39" s="9">
        <v>37</v>
      </c>
      <c r="B39" s="5">
        <v>13171.943417578896</v>
      </c>
    </row>
    <row r="40" spans="1:2">
      <c r="A40" s="9">
        <v>38</v>
      </c>
      <c r="B40" s="5">
        <v>19960.05752010403</v>
      </c>
    </row>
    <row r="41" spans="1:2">
      <c r="A41" s="9">
        <v>39</v>
      </c>
      <c r="B41" s="5">
        <v>24147.417520104031</v>
      </c>
    </row>
    <row r="42" spans="1:2">
      <c r="A42" s="9">
        <v>40</v>
      </c>
      <c r="B42" s="5">
        <v>4187.3599999999997</v>
      </c>
    </row>
    <row r="43" spans="1:2">
      <c r="A43" s="9">
        <v>41</v>
      </c>
      <c r="B43" s="5">
        <v>4187.3599999999997</v>
      </c>
    </row>
    <row r="44" spans="1:2">
      <c r="A44" s="9">
        <v>42</v>
      </c>
      <c r="B44" s="5">
        <v>4187.3599999999997</v>
      </c>
    </row>
    <row r="45" spans="1:2">
      <c r="A45" s="9" t="s">
        <v>203</v>
      </c>
      <c r="B45" s="5">
        <v>1534627.5418881448</v>
      </c>
    </row>
  </sheetData>
  <mergeCells count="3">
    <mergeCell ref="A1:B1"/>
    <mergeCell ref="D1:E1"/>
    <mergeCell ref="G1:H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BC87-DCB9-413C-A97B-5EC0A9C7D1AC}">
  <dimension ref="A1:N48"/>
  <sheetViews>
    <sheetView zoomScale="70" zoomScaleNormal="70" workbookViewId="0">
      <selection activeCell="G3" sqref="G3:N47"/>
    </sheetView>
  </sheetViews>
  <sheetFormatPr defaultRowHeight="15"/>
  <cols>
    <col min="1" max="1" width="17.140625" style="3" customWidth="1"/>
    <col min="2" max="2" width="11.5703125" style="3" customWidth="1"/>
    <col min="3" max="3" width="15.42578125" style="3" customWidth="1"/>
    <col min="4" max="4" width="14.28515625" style="3" customWidth="1"/>
    <col min="5" max="5" width="10.42578125" style="31" customWidth="1"/>
    <col min="6" max="6" width="17.7109375" style="3" customWidth="1"/>
    <col min="7" max="7" width="14.42578125" style="7" customWidth="1"/>
    <col min="8" max="8" width="15" style="3" customWidth="1"/>
    <col min="9" max="9" width="12.85546875" style="3" customWidth="1"/>
    <col min="10" max="10" width="17.42578125" style="3" customWidth="1"/>
    <col min="11" max="11" width="16.42578125" bestFit="1" customWidth="1"/>
    <col min="12" max="12" width="13.42578125" bestFit="1" customWidth="1"/>
    <col min="13" max="13" width="12.28515625" customWidth="1"/>
    <col min="14" max="14" width="16.42578125" customWidth="1"/>
  </cols>
  <sheetData>
    <row r="1" spans="1:14">
      <c r="A1" s="11" t="s">
        <v>209</v>
      </c>
      <c r="B1" s="11"/>
      <c r="C1" s="121" t="s">
        <v>210</v>
      </c>
      <c r="D1" s="122"/>
      <c r="E1" s="122"/>
      <c r="F1" s="123"/>
      <c r="G1" s="124" t="s">
        <v>211</v>
      </c>
      <c r="H1" s="125"/>
      <c r="I1" s="125"/>
      <c r="J1" s="126"/>
      <c r="K1" s="127" t="s">
        <v>212</v>
      </c>
      <c r="L1" s="128"/>
      <c r="M1" s="128"/>
      <c r="N1" s="129"/>
    </row>
    <row r="2" spans="1:14">
      <c r="A2" s="12"/>
      <c r="B2" s="12" t="s">
        <v>213</v>
      </c>
      <c r="C2" s="13" t="s">
        <v>214</v>
      </c>
      <c r="D2" s="13" t="s">
        <v>215</v>
      </c>
      <c r="E2" s="14" t="s">
        <v>216</v>
      </c>
      <c r="F2" s="15" t="s">
        <v>217</v>
      </c>
      <c r="G2" s="155" t="s">
        <v>214</v>
      </c>
      <c r="H2" s="16" t="s">
        <v>215</v>
      </c>
      <c r="I2" s="16" t="s">
        <v>216</v>
      </c>
      <c r="J2" s="17" t="s">
        <v>217</v>
      </c>
      <c r="K2" s="18" t="s">
        <v>214</v>
      </c>
      <c r="L2" s="19" t="s">
        <v>215</v>
      </c>
      <c r="M2" s="19" t="s">
        <v>216</v>
      </c>
      <c r="N2" s="20" t="s">
        <v>217</v>
      </c>
    </row>
    <row r="3" spans="1:14">
      <c r="A3" s="21"/>
      <c r="B3" s="21">
        <v>1</v>
      </c>
      <c r="C3" s="22">
        <f>IFERROR(VLOOKUP(B3,'TD - CURVA S'!$A$5:$B$44,2,0),0)</f>
        <v>2720.5459262193999</v>
      </c>
      <c r="D3" s="22">
        <f>C3</f>
        <v>2720.5459262193999</v>
      </c>
      <c r="E3" s="23">
        <f>C3/$C$48</f>
        <v>1.7727727751270176E-3</v>
      </c>
      <c r="F3" s="24">
        <f t="shared" ref="F3:F39" si="0">D3/$C$48</f>
        <v>1.7727727751270176E-3</v>
      </c>
      <c r="G3" s="156">
        <f>IFERROR(VLOOKUP(B3,'TD - CURVA S'!$D$3:$E$17,2,0),0)</f>
        <v>2720.5459262193999</v>
      </c>
      <c r="H3" s="22">
        <f>G3</f>
        <v>2720.5459262193999</v>
      </c>
      <c r="I3" s="23">
        <f>G3/$C$48</f>
        <v>1.7727727751270176E-3</v>
      </c>
      <c r="J3" s="24">
        <f t="shared" ref="J3:J47" si="1">H3/$C$48</f>
        <v>1.7727727751270176E-3</v>
      </c>
      <c r="K3" s="158"/>
      <c r="L3" s="159"/>
      <c r="M3" s="160"/>
      <c r="N3" s="161"/>
    </row>
    <row r="4" spans="1:14">
      <c r="A4" s="25"/>
      <c r="B4" s="25">
        <v>2</v>
      </c>
      <c r="C4" s="26">
        <f>IFERROR(VLOOKUP(B4,'TD - CURVA S'!$A$5:$B$44,2,0),0)</f>
        <v>0</v>
      </c>
      <c r="D4" s="26">
        <f>C4+D3</f>
        <v>2720.5459262193999</v>
      </c>
      <c r="E4" s="27">
        <f t="shared" ref="E4:E39" si="2">C4/$C$48</f>
        <v>0</v>
      </c>
      <c r="F4" s="28">
        <f t="shared" si="0"/>
        <v>1.7727727751270176E-3</v>
      </c>
      <c r="G4" s="156">
        <f>IFERROR(VLOOKUP(B4,'TD - CURVA S'!$D$3:$E$17,2,0),0)</f>
        <v>0</v>
      </c>
      <c r="H4" s="26">
        <f>G4+H3</f>
        <v>2720.5459262193999</v>
      </c>
      <c r="I4" s="27">
        <f t="shared" ref="I4:I47" si="3">G4/$C$48</f>
        <v>0</v>
      </c>
      <c r="J4" s="28">
        <f t="shared" si="1"/>
        <v>1.7727727751270176E-3</v>
      </c>
      <c r="K4" s="158"/>
      <c r="L4" s="162"/>
      <c r="M4" s="163"/>
      <c r="N4" s="164"/>
    </row>
    <row r="5" spans="1:14">
      <c r="A5" s="25"/>
      <c r="B5" s="25">
        <v>3</v>
      </c>
      <c r="C5" s="26">
        <f>IFERROR(VLOOKUP(B5,'TD - CURVA S'!$A$5:$B$44,2,0),0)</f>
        <v>34352.038177708891</v>
      </c>
      <c r="D5" s="26">
        <f>C5+D4</f>
        <v>37072.58410392829</v>
      </c>
      <c r="E5" s="27">
        <f t="shared" si="2"/>
        <v>2.2384609450866174E-2</v>
      </c>
      <c r="F5" s="28">
        <f t="shared" si="0"/>
        <v>2.4157382225993191E-2</v>
      </c>
      <c r="G5" s="156">
        <f>IFERROR(VLOOKUP(B5,'TD - CURVA S'!$D$3:$E$17,2,0),0)</f>
        <v>34352.038177708891</v>
      </c>
      <c r="H5" s="26">
        <f>G5+H4</f>
        <v>37072.58410392829</v>
      </c>
      <c r="I5" s="27">
        <f t="shared" si="3"/>
        <v>2.2384609450866174E-2</v>
      </c>
      <c r="J5" s="28">
        <f t="shared" si="1"/>
        <v>2.4157382225993191E-2</v>
      </c>
      <c r="K5" s="158"/>
      <c r="L5" s="162"/>
      <c r="M5" s="163"/>
      <c r="N5" s="164"/>
    </row>
    <row r="6" spans="1:14">
      <c r="A6" s="25"/>
      <c r="B6" s="25">
        <v>4</v>
      </c>
      <c r="C6" s="26">
        <f>IFERROR(VLOOKUP(B6,'TD - CURVA S'!$A$5:$B$44,2,0),0)</f>
        <v>70031.197680562909</v>
      </c>
      <c r="D6" s="26">
        <f>C6+D5</f>
        <v>107103.78178449121</v>
      </c>
      <c r="E6" s="27">
        <f t="shared" si="2"/>
        <v>4.5634002889326036E-2</v>
      </c>
      <c r="F6" s="29">
        <f t="shared" si="0"/>
        <v>6.9791385115319224E-2</v>
      </c>
      <c r="G6" s="156">
        <f>IFERROR(VLOOKUP(B6,'TD - CURVA S'!$D$3:$E$17,2,0),0)</f>
        <v>70031.197680562909</v>
      </c>
      <c r="H6" s="26">
        <f>G6+H5</f>
        <v>107103.78178449121</v>
      </c>
      <c r="I6" s="27">
        <f t="shared" si="3"/>
        <v>4.5634002889326036E-2</v>
      </c>
      <c r="J6" s="29">
        <f t="shared" si="1"/>
        <v>6.9791385115319224E-2</v>
      </c>
      <c r="K6" s="158"/>
      <c r="L6" s="162"/>
      <c r="M6" s="163"/>
      <c r="N6" s="165"/>
    </row>
    <row r="7" spans="1:14">
      <c r="A7" s="25"/>
      <c r="B7" s="25">
        <v>5</v>
      </c>
      <c r="C7" s="26">
        <f>IFERROR(VLOOKUP(B7,'TD - CURVA S'!$A$5:$B$44,2,0),0)</f>
        <v>350</v>
      </c>
      <c r="D7" s="26">
        <f t="shared" ref="D7:D27" si="4">C7+D6</f>
        <v>107453.78178449121</v>
      </c>
      <c r="E7" s="27">
        <f t="shared" si="2"/>
        <v>2.2806836867359613E-4</v>
      </c>
      <c r="F7" s="28">
        <f t="shared" si="0"/>
        <v>7.0019453483992827E-2</v>
      </c>
      <c r="G7" s="156">
        <f>IFERROR(VLOOKUP(B7,'TD - CURVA S'!$D$3:$E$17,2,0),0)</f>
        <v>350</v>
      </c>
      <c r="H7" s="26">
        <f t="shared" ref="H7:H27" si="5">G7+H6</f>
        <v>107453.78178449121</v>
      </c>
      <c r="I7" s="27">
        <f t="shared" si="3"/>
        <v>2.2806836867359613E-4</v>
      </c>
      <c r="J7" s="28">
        <f t="shared" si="1"/>
        <v>7.0019453483992827E-2</v>
      </c>
      <c r="K7" s="158"/>
      <c r="L7" s="162"/>
      <c r="M7" s="163"/>
      <c r="N7" s="164"/>
    </row>
    <row r="8" spans="1:14">
      <c r="A8" s="25"/>
      <c r="B8" s="25">
        <v>6</v>
      </c>
      <c r="C8" s="26">
        <f>IFERROR(VLOOKUP(B8,'TD - CURVA S'!$A$5:$B$44,2,0),0)</f>
        <v>0</v>
      </c>
      <c r="D8" s="26">
        <f t="shared" si="4"/>
        <v>107453.78178449121</v>
      </c>
      <c r="E8" s="27">
        <f t="shared" si="2"/>
        <v>0</v>
      </c>
      <c r="F8" s="28">
        <f t="shared" si="0"/>
        <v>7.0019453483992827E-2</v>
      </c>
      <c r="G8" s="156">
        <f>IFERROR(VLOOKUP(B8,'TD - CURVA S'!$D$3:$E$17,2,0),0)</f>
        <v>0</v>
      </c>
      <c r="H8" s="26">
        <f t="shared" si="5"/>
        <v>107453.78178449121</v>
      </c>
      <c r="I8" s="27">
        <f t="shared" si="3"/>
        <v>0</v>
      </c>
      <c r="J8" s="28">
        <f t="shared" si="1"/>
        <v>7.0019453483992827E-2</v>
      </c>
      <c r="K8" s="158"/>
      <c r="L8" s="162"/>
      <c r="M8" s="163"/>
      <c r="N8" s="164"/>
    </row>
    <row r="9" spans="1:14">
      <c r="A9" s="25"/>
      <c r="B9" s="25">
        <v>7</v>
      </c>
      <c r="C9" s="26">
        <f>IFERROR(VLOOKUP(B9,'TD - CURVA S'!$A$5:$B$44,2,0),0)</f>
        <v>34911.872504763036</v>
      </c>
      <c r="D9" s="26">
        <f t="shared" si="4"/>
        <v>142365.65428925425</v>
      </c>
      <c r="E9" s="27">
        <f t="shared" si="2"/>
        <v>2.2749410884291086E-2</v>
      </c>
      <c r="F9" s="28">
        <f t="shared" si="0"/>
        <v>9.276886436828391E-2</v>
      </c>
      <c r="G9" s="156">
        <f>IFERROR(VLOOKUP(B9,'TD - CURVA S'!$D$3:$E$17,2,0),0)</f>
        <v>34911.872504763036</v>
      </c>
      <c r="H9" s="26">
        <f t="shared" si="5"/>
        <v>142365.65428925425</v>
      </c>
      <c r="I9" s="27">
        <f t="shared" si="3"/>
        <v>2.2749410884291086E-2</v>
      </c>
      <c r="J9" s="28">
        <f t="shared" si="1"/>
        <v>9.276886436828391E-2</v>
      </c>
      <c r="K9" s="158"/>
      <c r="L9" s="162"/>
      <c r="M9" s="163"/>
      <c r="N9" s="164"/>
    </row>
    <row r="10" spans="1:14">
      <c r="A10" s="25"/>
      <c r="B10" s="25">
        <v>8</v>
      </c>
      <c r="C10" s="26">
        <f>IFERROR(VLOOKUP(B10,'TD - CURVA S'!$A$5:$B$44,2,0),0)</f>
        <v>96574.526590207359</v>
      </c>
      <c r="D10" s="26">
        <f t="shared" si="4"/>
        <v>238940.18087946161</v>
      </c>
      <c r="E10" s="27">
        <f t="shared" si="2"/>
        <v>6.2930270671009786E-2</v>
      </c>
      <c r="F10" s="28">
        <f t="shared" si="0"/>
        <v>0.1556991350392937</v>
      </c>
      <c r="G10" s="156">
        <f>IFERROR(VLOOKUP(B10,'TD - CURVA S'!$D$3:$E$17,2,0),0)</f>
        <v>96574.526590207359</v>
      </c>
      <c r="H10" s="26">
        <f t="shared" si="5"/>
        <v>238940.18087946161</v>
      </c>
      <c r="I10" s="27">
        <f t="shared" si="3"/>
        <v>6.2930270671009786E-2</v>
      </c>
      <c r="J10" s="28">
        <f t="shared" si="1"/>
        <v>0.1556991350392937</v>
      </c>
      <c r="K10" s="158"/>
      <c r="L10" s="162"/>
      <c r="M10" s="163"/>
      <c r="N10" s="164"/>
    </row>
    <row r="11" spans="1:14">
      <c r="A11" s="25"/>
      <c r="B11" s="25">
        <v>9</v>
      </c>
      <c r="C11" s="26">
        <f>IFERROR(VLOOKUP(B11,'TD - CURVA S'!$A$5:$B$44,2,0),0)</f>
        <v>64892.403720577204</v>
      </c>
      <c r="D11" s="26">
        <f t="shared" si="4"/>
        <v>303832.58460003883</v>
      </c>
      <c r="E11" s="27">
        <f t="shared" si="2"/>
        <v>4.2285441873886984E-2</v>
      </c>
      <c r="F11" s="28">
        <f t="shared" si="0"/>
        <v>0.19798457691318069</v>
      </c>
      <c r="G11" s="156">
        <f>IFERROR(VLOOKUP(B11,'TD - CURVA S'!$D$3:$E$17,2,0),0)</f>
        <v>0</v>
      </c>
      <c r="H11" s="26">
        <f t="shared" si="5"/>
        <v>238940.18087946161</v>
      </c>
      <c r="I11" s="27">
        <f t="shared" si="3"/>
        <v>0</v>
      </c>
      <c r="J11" s="28">
        <f t="shared" si="1"/>
        <v>0.1556991350392937</v>
      </c>
      <c r="K11" s="158"/>
      <c r="L11" s="162"/>
      <c r="M11" s="163"/>
      <c r="N11" s="164"/>
    </row>
    <row r="12" spans="1:14">
      <c r="A12" s="25"/>
      <c r="B12" s="25">
        <v>10</v>
      </c>
      <c r="C12" s="26">
        <f>IFERROR(VLOOKUP(B12,'TD - CURVA S'!$A$5:$B$44,2,0),0)</f>
        <v>96852.167818661153</v>
      </c>
      <c r="D12" s="26">
        <f t="shared" si="4"/>
        <v>400684.75241869997</v>
      </c>
      <c r="E12" s="27">
        <f t="shared" si="2"/>
        <v>6.3111188334009763E-2</v>
      </c>
      <c r="F12" s="28">
        <f t="shared" si="0"/>
        <v>0.26109576524719041</v>
      </c>
      <c r="G12" s="156">
        <f>IFERROR(VLOOKUP(B12,'TD - CURVA S'!$D$3:$E$17,2,0),0)</f>
        <v>64892.403720577204</v>
      </c>
      <c r="H12" s="26">
        <f t="shared" si="5"/>
        <v>303832.58460003883</v>
      </c>
      <c r="I12" s="27">
        <f t="shared" si="3"/>
        <v>4.2285441873886984E-2</v>
      </c>
      <c r="J12" s="28">
        <f t="shared" si="1"/>
        <v>0.19798457691318069</v>
      </c>
      <c r="K12" s="158"/>
      <c r="L12" s="162"/>
      <c r="M12" s="163"/>
      <c r="N12" s="164"/>
    </row>
    <row r="13" spans="1:14">
      <c r="A13" s="25"/>
      <c r="B13" s="25">
        <v>11</v>
      </c>
      <c r="C13" s="26">
        <f>IFERROR(VLOOKUP(B13,'TD - CURVA S'!$A$5:$B$44,2,0),0)</f>
        <v>64892.403720577204</v>
      </c>
      <c r="D13" s="26">
        <f t="shared" si="4"/>
        <v>465577.15613927715</v>
      </c>
      <c r="E13" s="27">
        <f t="shared" si="2"/>
        <v>4.2285441873886984E-2</v>
      </c>
      <c r="F13" s="28">
        <f t="shared" si="0"/>
        <v>0.30338120712107741</v>
      </c>
      <c r="G13" s="156">
        <f>IFERROR(VLOOKUP(B13,'TD - CURVA S'!$D$3:$E$17,2,0),0)</f>
        <v>96852.167818661153</v>
      </c>
      <c r="H13" s="26">
        <f t="shared" si="5"/>
        <v>400684.75241869997</v>
      </c>
      <c r="I13" s="27">
        <f t="shared" si="3"/>
        <v>6.3111188334009763E-2</v>
      </c>
      <c r="J13" s="28">
        <f t="shared" si="1"/>
        <v>0.26109576524719041</v>
      </c>
      <c r="K13" s="158"/>
      <c r="L13" s="162"/>
      <c r="M13" s="163"/>
      <c r="N13" s="164"/>
    </row>
    <row r="14" spans="1:14">
      <c r="A14" s="25"/>
      <c r="B14" s="25">
        <v>12</v>
      </c>
      <c r="C14" s="26">
        <f>IFERROR(VLOOKUP(B14,'TD - CURVA S'!$A$5:$B$44,2,0),0)</f>
        <v>96852.167818661153</v>
      </c>
      <c r="D14" s="26">
        <f t="shared" si="4"/>
        <v>562429.32395793835</v>
      </c>
      <c r="E14" s="27">
        <f t="shared" si="2"/>
        <v>6.3111188334009763E-2</v>
      </c>
      <c r="F14" s="28">
        <f t="shared" si="0"/>
        <v>0.36649239545508722</v>
      </c>
      <c r="G14" s="156">
        <f>IFERROR(VLOOKUP(B14,'TD - CURVA S'!$D$3:$E$17,2,0),0)</f>
        <v>64892.403720577204</v>
      </c>
      <c r="H14" s="26">
        <f t="shared" si="5"/>
        <v>465577.15613927715</v>
      </c>
      <c r="I14" s="27">
        <f t="shared" si="3"/>
        <v>4.2285441873886984E-2</v>
      </c>
      <c r="J14" s="28">
        <f t="shared" si="1"/>
        <v>0.30338120712107741</v>
      </c>
      <c r="K14" s="158"/>
      <c r="L14" s="162"/>
      <c r="M14" s="163"/>
      <c r="N14" s="164"/>
    </row>
    <row r="15" spans="1:14">
      <c r="A15" s="25"/>
      <c r="B15" s="25">
        <v>13</v>
      </c>
      <c r="C15" s="26">
        <f>IFERROR(VLOOKUP(B15,'TD - CURVA S'!$A$5:$B$44,2,0),0)</f>
        <v>64892.403720577204</v>
      </c>
      <c r="D15" s="26">
        <f t="shared" si="4"/>
        <v>627321.7276785156</v>
      </c>
      <c r="E15" s="27">
        <f t="shared" si="2"/>
        <v>4.2285441873886984E-2</v>
      </c>
      <c r="F15" s="28">
        <f t="shared" si="0"/>
        <v>0.40877783732897421</v>
      </c>
      <c r="G15" s="156">
        <f>IFERROR(VLOOKUP(B15,'TD - CURVA S'!$D$3:$E$17,2,0),0)</f>
        <v>96852.167818661153</v>
      </c>
      <c r="H15" s="26">
        <f t="shared" si="5"/>
        <v>562429.32395793835</v>
      </c>
      <c r="I15" s="27">
        <f t="shared" si="3"/>
        <v>6.3111188334009763E-2</v>
      </c>
      <c r="J15" s="28">
        <f t="shared" si="1"/>
        <v>0.36649239545508722</v>
      </c>
      <c r="K15" s="158"/>
      <c r="L15" s="162"/>
      <c r="M15" s="163"/>
      <c r="N15" s="164"/>
    </row>
    <row r="16" spans="1:14">
      <c r="A16" s="25"/>
      <c r="B16" s="25">
        <v>14</v>
      </c>
      <c r="C16" s="26">
        <f>IFERROR(VLOOKUP(B16,'TD - CURVA S'!$A$5:$B$44,2,0),0)</f>
        <v>110308.05702877935</v>
      </c>
      <c r="D16" s="26">
        <f t="shared" si="4"/>
        <v>737629.78470729501</v>
      </c>
      <c r="E16" s="27">
        <f t="shared" si="2"/>
        <v>7.1879367480307765E-2</v>
      </c>
      <c r="F16" s="28">
        <f t="shared" si="0"/>
        <v>0.48065720480928198</v>
      </c>
      <c r="G16" s="156">
        <f>IFERROR(VLOOKUP(B16,'TD - CURVA S'!$D$3:$E$17,2,0),0)</f>
        <v>0</v>
      </c>
      <c r="H16" s="26">
        <f t="shared" si="5"/>
        <v>562429.32395793835</v>
      </c>
      <c r="I16" s="27">
        <f t="shared" si="3"/>
        <v>0</v>
      </c>
      <c r="J16" s="28">
        <f t="shared" si="1"/>
        <v>0.36649239545508722</v>
      </c>
      <c r="K16" s="158"/>
      <c r="L16" s="162"/>
      <c r="M16" s="163"/>
      <c r="N16" s="164"/>
    </row>
    <row r="17" spans="1:14">
      <c r="A17" s="25"/>
      <c r="B17" s="25">
        <v>15</v>
      </c>
      <c r="C17" s="26">
        <f>IFERROR(VLOOKUP(B17,'TD - CURVA S'!$A$5:$B$44,2,0),0)</f>
        <v>81638.827553318988</v>
      </c>
      <c r="D17" s="26">
        <f t="shared" si="4"/>
        <v>819268.61226061406</v>
      </c>
      <c r="E17" s="27">
        <f t="shared" si="2"/>
        <v>5.3197812058601406E-2</v>
      </c>
      <c r="F17" s="28">
        <f t="shared" si="0"/>
        <v>0.5338550168678835</v>
      </c>
      <c r="G17" s="156">
        <f>IFERROR(VLOOKUP(B17,'TD - CURVA S'!$D$3:$E$17,2,0),0)</f>
        <v>78348.292930695403</v>
      </c>
      <c r="H17" s="26">
        <f t="shared" si="5"/>
        <v>640777.6168886337</v>
      </c>
      <c r="I17" s="27">
        <f t="shared" si="3"/>
        <v>5.1053621020184986E-2</v>
      </c>
      <c r="J17" s="28">
        <f t="shared" si="1"/>
        <v>0.41754601647527212</v>
      </c>
      <c r="K17" s="158"/>
      <c r="L17" s="162"/>
      <c r="M17" s="163"/>
      <c r="N17" s="164"/>
    </row>
    <row r="18" spans="1:14">
      <c r="A18" s="25"/>
      <c r="B18" s="25">
        <v>16</v>
      </c>
      <c r="C18" s="26">
        <f>IFERROR(VLOOKUP(B18,'TD - CURVA S'!$A$5:$B$44,2,0),0)</f>
        <v>34692.955250007151</v>
      </c>
      <c r="D18" s="26">
        <f t="shared" si="4"/>
        <v>853961.56751062116</v>
      </c>
      <c r="E18" s="27">
        <f t="shared" si="2"/>
        <v>2.260675916667201E-2</v>
      </c>
      <c r="F18" s="28">
        <f t="shared" si="0"/>
        <v>0.55646177603455538</v>
      </c>
      <c r="G18" s="156">
        <f>IFERROR(VLOOKUP(B18,'TD - CURVA S'!$D$3:$E$17,2,0),0)</f>
        <v>179475.12537198013</v>
      </c>
      <c r="H18" s="26">
        <f t="shared" si="5"/>
        <v>820252.74226061383</v>
      </c>
      <c r="I18" s="27">
        <f t="shared" si="3"/>
        <v>0.11695028303164758</v>
      </c>
      <c r="J18" s="28">
        <f t="shared" si="1"/>
        <v>0.53449629950691968</v>
      </c>
      <c r="K18" s="158"/>
      <c r="L18" s="162"/>
      <c r="M18" s="163"/>
      <c r="N18" s="164"/>
    </row>
    <row r="19" spans="1:14">
      <c r="A19" s="25"/>
      <c r="B19" s="25">
        <v>17</v>
      </c>
      <c r="C19" s="26">
        <f>IFERROR(VLOOKUP(B19,'TD - CURVA S'!$A$5:$B$44,2,0),0)</f>
        <v>28478.932964450589</v>
      </c>
      <c r="D19" s="26">
        <f t="shared" si="4"/>
        <v>882440.50047507172</v>
      </c>
      <c r="E19" s="27">
        <f t="shared" si="2"/>
        <v>1.855755366504842E-2</v>
      </c>
      <c r="F19" s="28">
        <f t="shared" si="0"/>
        <v>0.57501932969960379</v>
      </c>
      <c r="G19" s="156">
        <f>IFERROR(VLOOKUP(B19,'TD - CURVA S'!$D$3:$E$17,2,0),0)</f>
        <v>34692.955250007151</v>
      </c>
      <c r="H19" s="26">
        <f t="shared" si="5"/>
        <v>854945.69751062093</v>
      </c>
      <c r="I19" s="27">
        <f t="shared" si="3"/>
        <v>2.260675916667201E-2</v>
      </c>
      <c r="J19" s="28">
        <f t="shared" si="1"/>
        <v>0.55710305867359167</v>
      </c>
      <c r="K19" s="157">
        <f>IFERROR(VLOOKUP(B19,'TD - CURVA S'!$G$3:$H$31,2,0),0)</f>
        <v>0</v>
      </c>
      <c r="L19" s="26">
        <f>K19+H19</f>
        <v>854945.69751062093</v>
      </c>
      <c r="M19" s="27">
        <f t="shared" ref="M4:M47" si="6">K19/$C$48</f>
        <v>0</v>
      </c>
      <c r="N19" s="28">
        <f t="shared" ref="N3:N47" si="7">L19/$C$48</f>
        <v>0.55710305867359167</v>
      </c>
    </row>
    <row r="20" spans="1:14">
      <c r="A20" s="25"/>
      <c r="B20" s="25">
        <v>18</v>
      </c>
      <c r="C20" s="26">
        <f>IFERROR(VLOOKUP(B20,'TD - CURVA S'!$A$5:$B$44,2,0),0)</f>
        <v>16834.911168831484</v>
      </c>
      <c r="D20" s="26">
        <f t="shared" si="4"/>
        <v>899275.41164390324</v>
      </c>
      <c r="E20" s="27">
        <f t="shared" si="2"/>
        <v>1.0970030648686572E-2</v>
      </c>
      <c r="F20" s="28">
        <f t="shared" si="0"/>
        <v>0.58598936034829041</v>
      </c>
      <c r="G20" s="166"/>
      <c r="H20" s="162"/>
      <c r="I20" s="163"/>
      <c r="J20" s="164"/>
      <c r="K20" s="157">
        <f>IFERROR(VLOOKUP(B20,'TD - CURVA S'!$G$3:$H$31,2,0),0)</f>
        <v>14440.019210118191</v>
      </c>
      <c r="L20" s="26">
        <f t="shared" ref="L7:L27" si="8">K20+L19</f>
        <v>869385.71672073915</v>
      </c>
      <c r="M20" s="27">
        <f t="shared" si="6"/>
        <v>9.4094617853344165E-3</v>
      </c>
      <c r="N20" s="28">
        <f t="shared" si="7"/>
        <v>0.56651252045892608</v>
      </c>
    </row>
    <row r="21" spans="1:14">
      <c r="A21" s="25"/>
      <c r="B21" s="25">
        <v>19</v>
      </c>
      <c r="C21" s="26">
        <f>IFERROR(VLOOKUP(B21,'TD - CURVA S'!$A$5:$B$44,2,0),0)</f>
        <v>67850.810102093208</v>
      </c>
      <c r="D21" s="26">
        <f t="shared" si="4"/>
        <v>967126.2217459965</v>
      </c>
      <c r="E21" s="27">
        <f t="shared" si="2"/>
        <v>4.4213210209046727E-2</v>
      </c>
      <c r="F21" s="28">
        <f t="shared" si="0"/>
        <v>0.63020257055733719</v>
      </c>
      <c r="G21" s="166"/>
      <c r="H21" s="162"/>
      <c r="I21" s="163"/>
      <c r="J21" s="164"/>
      <c r="K21" s="157">
        <f>IFERROR(VLOOKUP(B21,'TD - CURVA S'!$G$3:$H$31,2,0),0)</f>
        <v>66117.058232475945</v>
      </c>
      <c r="L21" s="26">
        <f t="shared" si="8"/>
        <v>935502.77495321515</v>
      </c>
      <c r="M21" s="27">
        <f t="shared" si="6"/>
        <v>4.3083456035936996E-2</v>
      </c>
      <c r="N21" s="28">
        <f t="shared" si="7"/>
        <v>0.60959597649486319</v>
      </c>
    </row>
    <row r="22" spans="1:14">
      <c r="A22" s="25"/>
      <c r="B22" s="25">
        <v>20</v>
      </c>
      <c r="C22" s="26">
        <f>IFERROR(VLOOKUP(B22,'TD - CURVA S'!$A$5:$B$44,2,0),0)</f>
        <v>20441.473594700008</v>
      </c>
      <c r="D22" s="26">
        <f t="shared" si="4"/>
        <v>987567.69534069649</v>
      </c>
      <c r="E22" s="27">
        <f t="shared" si="2"/>
        <v>1.3320152960078919E-2</v>
      </c>
      <c r="F22" s="28">
        <f t="shared" si="0"/>
        <v>0.64352272351741613</v>
      </c>
      <c r="G22" s="166"/>
      <c r="H22" s="162"/>
      <c r="I22" s="163"/>
      <c r="J22" s="164"/>
      <c r="K22" s="157">
        <f>IFERROR(VLOOKUP(B22,'TD - CURVA S'!$G$3:$H$31,2,0),0)</f>
        <v>22167.888539709144</v>
      </c>
      <c r="L22" s="26">
        <f t="shared" si="8"/>
        <v>957670.6634929243</v>
      </c>
      <c r="M22" s="27">
        <f t="shared" si="6"/>
        <v>1.4445126217684489E-2</v>
      </c>
      <c r="N22" s="28">
        <f t="shared" si="7"/>
        <v>0.62404110271254765</v>
      </c>
    </row>
    <row r="23" spans="1:14">
      <c r="A23" s="25"/>
      <c r="B23" s="25">
        <v>21</v>
      </c>
      <c r="C23" s="26">
        <f>IFERROR(VLOOKUP(B23,'TD - CURVA S'!$A$5:$B$44,2,0),0)</f>
        <v>18795.590065012409</v>
      </c>
      <c r="D23" s="26">
        <f t="shared" si="4"/>
        <v>1006363.2854057089</v>
      </c>
      <c r="E23" s="27">
        <f t="shared" si="2"/>
        <v>1.2247655898242945E-2</v>
      </c>
      <c r="F23" s="28">
        <f t="shared" si="0"/>
        <v>0.65577037941565908</v>
      </c>
      <c r="G23" s="166"/>
      <c r="H23" s="162"/>
      <c r="I23" s="163"/>
      <c r="J23" s="164"/>
      <c r="K23" s="157">
        <f>IFERROR(VLOOKUP(B23,'TD - CURVA S'!$G$3:$H$31,2,0),0)</f>
        <v>19170.163309388492</v>
      </c>
      <c r="L23" s="26">
        <f t="shared" si="8"/>
        <v>976840.82680231275</v>
      </c>
      <c r="M23" s="27">
        <f t="shared" si="6"/>
        <v>1.2491736780510458E-2</v>
      </c>
      <c r="N23" s="28">
        <f t="shared" si="7"/>
        <v>0.63653283949305806</v>
      </c>
    </row>
    <row r="24" spans="1:14">
      <c r="A24" s="25"/>
      <c r="B24" s="25">
        <v>22</v>
      </c>
      <c r="C24" s="26">
        <f>IFERROR(VLOOKUP(B24,'TD - CURVA S'!$A$5:$B$44,2,0),0)</f>
        <v>31780.6438458267</v>
      </c>
      <c r="D24" s="26">
        <f t="shared" si="4"/>
        <v>1038143.9292515357</v>
      </c>
      <c r="E24" s="27">
        <f t="shared" si="2"/>
        <v>2.070902742089788E-2</v>
      </c>
      <c r="F24" s="28">
        <f t="shared" si="0"/>
        <v>0.67647940683655694</v>
      </c>
      <c r="G24" s="166"/>
      <c r="H24" s="162"/>
      <c r="I24" s="163"/>
      <c r="J24" s="164"/>
      <c r="K24" s="157">
        <f>IFERROR(VLOOKUP(B24,'TD - CURVA S'!$G$3:$H$31,2,0),0)</f>
        <v>14124.366223822346</v>
      </c>
      <c r="L24" s="26">
        <f t="shared" si="8"/>
        <v>990965.19302613509</v>
      </c>
      <c r="M24" s="27">
        <f t="shared" si="6"/>
        <v>9.2037747520445825E-3</v>
      </c>
      <c r="N24" s="28">
        <f t="shared" si="7"/>
        <v>0.64573661424510265</v>
      </c>
    </row>
    <row r="25" spans="1:14">
      <c r="A25" s="25"/>
      <c r="B25" s="25">
        <v>23</v>
      </c>
      <c r="C25" s="26">
        <f>IFERROR(VLOOKUP(B25,'TD - CURVA S'!$A$5:$B$44,2,0),0)</f>
        <v>30767.021062401549</v>
      </c>
      <c r="D25" s="26">
        <f t="shared" si="4"/>
        <v>1068910.9503139372</v>
      </c>
      <c r="E25" s="27">
        <f t="shared" si="2"/>
        <v>2.0048526578994554E-2</v>
      </c>
      <c r="F25" s="28">
        <f t="shared" si="0"/>
        <v>0.69652793341555153</v>
      </c>
      <c r="G25" s="166"/>
      <c r="H25" s="162"/>
      <c r="I25" s="163"/>
      <c r="J25" s="164"/>
      <c r="K25" s="157">
        <f>IFERROR(VLOOKUP(B25,'TD - CURVA S'!$G$3:$H$31,2,0),0)</f>
        <v>46165.113441975125</v>
      </c>
      <c r="L25" s="26">
        <f t="shared" si="8"/>
        <v>1037130.3064681102</v>
      </c>
      <c r="M25" s="27">
        <f t="shared" si="6"/>
        <v>3.0082291749550776E-2</v>
      </c>
      <c r="N25" s="28">
        <f t="shared" si="7"/>
        <v>0.67581890599465344</v>
      </c>
    </row>
    <row r="26" spans="1:14">
      <c r="A26" s="25"/>
      <c r="B26" s="25">
        <v>24</v>
      </c>
      <c r="C26" s="26">
        <f>IFERROR(VLOOKUP(B26,'TD - CURVA S'!$A$5:$B$44,2,0),0)</f>
        <v>27247.071913197247</v>
      </c>
      <c r="D26" s="26">
        <f t="shared" si="4"/>
        <v>1096158.0222271343</v>
      </c>
      <c r="E26" s="27">
        <f t="shared" si="2"/>
        <v>1.7754843549643018E-2</v>
      </c>
      <c r="F26" s="28">
        <f t="shared" si="0"/>
        <v>0.71428277696519449</v>
      </c>
      <c r="G26" s="166"/>
      <c r="H26" s="162"/>
      <c r="I26" s="163"/>
      <c r="J26" s="164"/>
      <c r="K26" s="157">
        <f>IFERROR(VLOOKUP(B26,'TD - CURVA S'!$G$3:$H$31,2,0),0)</f>
        <v>31780.6438458267</v>
      </c>
      <c r="L26" s="26">
        <f t="shared" si="8"/>
        <v>1068910.9503139369</v>
      </c>
      <c r="M26" s="27">
        <f t="shared" si="6"/>
        <v>2.070902742089788E-2</v>
      </c>
      <c r="N26" s="28">
        <f t="shared" si="7"/>
        <v>0.6965279334155513</v>
      </c>
    </row>
    <row r="27" spans="1:14">
      <c r="A27" s="25"/>
      <c r="B27" s="25">
        <v>25</v>
      </c>
      <c r="C27" s="26">
        <f>IFERROR(VLOOKUP(B27,'TD - CURVA S'!$A$5:$B$44,2,0),0)</f>
        <v>27247.071913197247</v>
      </c>
      <c r="D27" s="26">
        <f t="shared" si="4"/>
        <v>1123405.0941403315</v>
      </c>
      <c r="E27" s="27">
        <f t="shared" si="2"/>
        <v>1.7754843549643018E-2</v>
      </c>
      <c r="F27" s="28">
        <f t="shared" si="0"/>
        <v>0.73203762051483745</v>
      </c>
      <c r="G27" s="166"/>
      <c r="H27" s="162"/>
      <c r="I27" s="163"/>
      <c r="J27" s="164"/>
      <c r="K27" s="157">
        <f>IFERROR(VLOOKUP(B27,'TD - CURVA S'!$G$3:$H$31,2,0),0)</f>
        <v>27247.071913197247</v>
      </c>
      <c r="L27" s="26">
        <f t="shared" si="8"/>
        <v>1096158.0222271341</v>
      </c>
      <c r="M27" s="27">
        <f t="shared" si="6"/>
        <v>1.7754843549643018E-2</v>
      </c>
      <c r="N27" s="28">
        <f t="shared" si="7"/>
        <v>0.71428277696519427</v>
      </c>
    </row>
    <row r="28" spans="1:14">
      <c r="A28" s="25"/>
      <c r="B28" s="25">
        <v>26</v>
      </c>
      <c r="C28" s="26">
        <f>IFERROR(VLOOKUP(B28,'TD - CURVA S'!$A$5:$B$44,2,0),0)</f>
        <v>6811.262880000002</v>
      </c>
      <c r="D28" s="26">
        <f t="shared" ref="D28:D39" si="9">IF(F27=1,0,C28+D27)</f>
        <v>1130216.3570203315</v>
      </c>
      <c r="E28" s="27">
        <f t="shared" si="2"/>
        <v>4.4383817532817737E-3</v>
      </c>
      <c r="F28" s="28">
        <f t="shared" si="0"/>
        <v>0.73647600226811927</v>
      </c>
      <c r="G28" s="166"/>
      <c r="H28" s="162"/>
      <c r="I28" s="163"/>
      <c r="J28" s="164"/>
      <c r="K28" s="157">
        <f>IFERROR(VLOOKUP(B28,'TD - CURVA S'!$G$3:$H$31,2,0),0)</f>
        <v>27247.071913197247</v>
      </c>
      <c r="L28" s="26">
        <f t="shared" ref="L28:L47" si="10">IF(N27=1,0,K28+L27)</f>
        <v>1123405.0941403313</v>
      </c>
      <c r="M28" s="27">
        <f t="shared" si="6"/>
        <v>1.7754843549643018E-2</v>
      </c>
      <c r="N28" s="28">
        <f t="shared" si="7"/>
        <v>0.73203762051483723</v>
      </c>
    </row>
    <row r="29" spans="1:14">
      <c r="A29" s="25"/>
      <c r="B29" s="25">
        <v>27</v>
      </c>
      <c r="C29" s="26">
        <f>IFERROR(VLOOKUP(B29,'TD - CURVA S'!$A$5:$B$44,2,0),0)</f>
        <v>33311.262880000002</v>
      </c>
      <c r="D29" s="26">
        <f t="shared" si="9"/>
        <v>1163527.6199003316</v>
      </c>
      <c r="E29" s="27">
        <f t="shared" si="2"/>
        <v>2.1706415381425481E-2</v>
      </c>
      <c r="F29" s="28">
        <f t="shared" si="0"/>
        <v>0.75818241764954475</v>
      </c>
      <c r="G29" s="166"/>
      <c r="H29" s="162"/>
      <c r="I29" s="163"/>
      <c r="J29" s="164"/>
      <c r="K29" s="157">
        <f>IFERROR(VLOOKUP(B29,'TD - CURVA S'!$G$3:$H$31,2,0),0)</f>
        <v>6811.262880000002</v>
      </c>
      <c r="L29" s="26">
        <f t="shared" si="10"/>
        <v>1130216.3570203313</v>
      </c>
      <c r="M29" s="27">
        <f t="shared" si="6"/>
        <v>4.4383817532817737E-3</v>
      </c>
      <c r="N29" s="28">
        <f t="shared" si="7"/>
        <v>0.73647600226811905</v>
      </c>
    </row>
    <row r="30" spans="1:14">
      <c r="A30" s="25"/>
      <c r="B30" s="25">
        <v>28</v>
      </c>
      <c r="C30" s="26">
        <f>IFERROR(VLOOKUP(B30,'TD - CURVA S'!$A$5:$B$44,2,0),0)</f>
        <v>31634.519186600734</v>
      </c>
      <c r="D30" s="26">
        <f t="shared" si="9"/>
        <v>1195162.1390869324</v>
      </c>
      <c r="E30" s="27">
        <f t="shared" si="2"/>
        <v>2.061380909903316E-2</v>
      </c>
      <c r="F30" s="28">
        <f t="shared" si="0"/>
        <v>0.77879622674857796</v>
      </c>
      <c r="G30" s="166"/>
      <c r="H30" s="162"/>
      <c r="I30" s="163"/>
      <c r="J30" s="164"/>
      <c r="K30" s="157">
        <f>IFERROR(VLOOKUP(B30,'TD - CURVA S'!$G$3:$H$31,2,0),0)</f>
        <v>33311.262880000002</v>
      </c>
      <c r="L30" s="26">
        <f t="shared" si="10"/>
        <v>1163527.6199003314</v>
      </c>
      <c r="M30" s="27">
        <f t="shared" si="6"/>
        <v>2.1706415381425481E-2</v>
      </c>
      <c r="N30" s="28">
        <f t="shared" si="7"/>
        <v>0.75818241764954453</v>
      </c>
    </row>
    <row r="31" spans="1:14">
      <c r="A31" s="25"/>
      <c r="B31" s="25">
        <v>29</v>
      </c>
      <c r="C31" s="26">
        <f>IFERROR(VLOOKUP(B31,'TD - CURVA S'!$A$5:$B$44,2,0),0)</f>
        <v>37908.546824200734</v>
      </c>
      <c r="D31" s="26">
        <f t="shared" si="9"/>
        <v>1233070.6859111332</v>
      </c>
      <c r="E31" s="27">
        <f t="shared" si="2"/>
        <v>2.4702115522805986E-2</v>
      </c>
      <c r="F31" s="28">
        <f t="shared" si="0"/>
        <v>0.80349834227138395</v>
      </c>
      <c r="G31" s="166"/>
      <c r="H31" s="162"/>
      <c r="I31" s="163"/>
      <c r="J31" s="164"/>
      <c r="K31" s="157">
        <f>IFERROR(VLOOKUP(B31,'TD - CURVA S'!$G$3:$H$31,2,0),0)</f>
        <v>37908.546824200734</v>
      </c>
      <c r="L31" s="26">
        <f t="shared" si="10"/>
        <v>1201436.1667245321</v>
      </c>
      <c r="M31" s="27">
        <f t="shared" si="6"/>
        <v>2.4702115522805986E-2</v>
      </c>
      <c r="N31" s="28">
        <f t="shared" si="7"/>
        <v>0.78288453317235063</v>
      </c>
    </row>
    <row r="32" spans="1:14">
      <c r="A32" s="25"/>
      <c r="B32" s="25">
        <v>30</v>
      </c>
      <c r="C32" s="26">
        <f>IFERROR(VLOOKUP(B32,'TD - CURVA S'!$A$5:$B$44,2,0),0)</f>
        <v>41015.939019550729</v>
      </c>
      <c r="D32" s="26">
        <f t="shared" si="9"/>
        <v>1274086.624930684</v>
      </c>
      <c r="E32" s="27">
        <f t="shared" si="2"/>
        <v>2.6726966576584667E-2</v>
      </c>
      <c r="F32" s="28">
        <f t="shared" si="0"/>
        <v>0.83022530884796863</v>
      </c>
      <c r="G32" s="166"/>
      <c r="H32" s="162"/>
      <c r="I32" s="163"/>
      <c r="J32" s="164"/>
      <c r="K32" s="157">
        <f>IFERROR(VLOOKUP(B32,'TD - CURVA S'!$G$3:$H$31,2,0),0)</f>
        <v>38718.275157400727</v>
      </c>
      <c r="L32" s="26">
        <f t="shared" si="10"/>
        <v>1240154.4418819328</v>
      </c>
      <c r="M32" s="27">
        <f t="shared" si="6"/>
        <v>2.5229753865725162E-2</v>
      </c>
      <c r="N32" s="28">
        <f t="shared" si="7"/>
        <v>0.80811428703807575</v>
      </c>
    </row>
    <row r="33" spans="1:14">
      <c r="A33" s="25"/>
      <c r="B33" s="25">
        <v>31</v>
      </c>
      <c r="C33" s="26">
        <f>IFERROR(VLOOKUP(B33,'TD - CURVA S'!$A$5:$B$44,2,0),0)</f>
        <v>18086.895711527977</v>
      </c>
      <c r="D33" s="26">
        <f t="shared" si="9"/>
        <v>1292173.5206422119</v>
      </c>
      <c r="E33" s="27">
        <f t="shared" si="2"/>
        <v>1.1785853712278993E-2</v>
      </c>
      <c r="F33" s="28">
        <f t="shared" si="0"/>
        <v>0.84201116256024766</v>
      </c>
      <c r="G33" s="166"/>
      <c r="H33" s="162"/>
      <c r="I33" s="163"/>
      <c r="J33" s="164"/>
      <c r="K33" s="157">
        <f>IFERROR(VLOOKUP(B33,'TD - CURVA S'!$G$3:$H$31,2,0),0)</f>
        <v>40969.462991550732</v>
      </c>
      <c r="L33" s="26">
        <f t="shared" si="10"/>
        <v>1281123.9048734836</v>
      </c>
      <c r="M33" s="27">
        <f t="shared" si="6"/>
        <v>2.6696681685474986E-2</v>
      </c>
      <c r="N33" s="28">
        <f t="shared" si="7"/>
        <v>0.83481096872355076</v>
      </c>
    </row>
    <row r="34" spans="1:14">
      <c r="A34" s="25"/>
      <c r="B34" s="25">
        <v>32</v>
      </c>
      <c r="C34" s="26">
        <f>IFERROR(VLOOKUP(B34,'TD - CURVA S'!$A$5:$B$44,2,0),0)</f>
        <v>28320.210358811022</v>
      </c>
      <c r="D34" s="26">
        <f t="shared" si="9"/>
        <v>1320493.731001023</v>
      </c>
      <c r="E34" s="27">
        <f t="shared" si="2"/>
        <v>1.8454126220077454E-2</v>
      </c>
      <c r="F34" s="28">
        <f t="shared" si="0"/>
        <v>0.86046528878032513</v>
      </c>
      <c r="G34" s="166"/>
      <c r="H34" s="162"/>
      <c r="I34" s="163"/>
      <c r="J34" s="164"/>
      <c r="K34" s="157">
        <f>IFERROR(VLOOKUP(B34,'TD - CURVA S'!$G$3:$H$31,2,0),0)</f>
        <v>18655.047635927975</v>
      </c>
      <c r="L34" s="26">
        <f t="shared" si="10"/>
        <v>1299778.9525094116</v>
      </c>
      <c r="M34" s="27">
        <f t="shared" si="6"/>
        <v>1.2156075091012341E-2</v>
      </c>
      <c r="N34" s="28">
        <f t="shared" si="7"/>
        <v>0.84696704381456311</v>
      </c>
    </row>
    <row r="35" spans="1:14">
      <c r="A35" s="25"/>
      <c r="B35" s="25">
        <v>33</v>
      </c>
      <c r="C35" s="26">
        <f>IFERROR(VLOOKUP(B35,'TD - CURVA S'!$A$5:$B$44,2,0),0)</f>
        <v>28996.226646811021</v>
      </c>
      <c r="D35" s="26">
        <f t="shared" si="9"/>
        <v>1349489.957647834</v>
      </c>
      <c r="E35" s="27">
        <f t="shared" si="2"/>
        <v>1.8894634597222994E-2</v>
      </c>
      <c r="F35" s="28">
        <f t="shared" si="0"/>
        <v>0.87935992337754809</v>
      </c>
      <c r="G35" s="166"/>
      <c r="H35" s="162"/>
      <c r="I35" s="163"/>
      <c r="J35" s="164"/>
      <c r="K35" s="157">
        <f>IFERROR(VLOOKUP(B35,'TD - CURVA S'!$G$3:$H$31,2,0),0)</f>
        <v>28996.226646811025</v>
      </c>
      <c r="L35" s="26">
        <f t="shared" si="10"/>
        <v>1328775.1791562226</v>
      </c>
      <c r="M35" s="27">
        <f t="shared" si="6"/>
        <v>1.8894634597222997E-2</v>
      </c>
      <c r="N35" s="28">
        <f t="shared" si="7"/>
        <v>0.86586167841178607</v>
      </c>
    </row>
    <row r="36" spans="1:14">
      <c r="A36" s="25"/>
      <c r="B36" s="25">
        <v>34</v>
      </c>
      <c r="C36" s="26">
        <f>IFERROR(VLOOKUP(B36,'TD - CURVA S'!$A$5:$B$44,2,0),0)</f>
        <v>30016.390039461025</v>
      </c>
      <c r="D36" s="26">
        <f t="shared" si="9"/>
        <v>1379506.3476872949</v>
      </c>
      <c r="E36" s="27">
        <f t="shared" si="2"/>
        <v>1.9559397456486445E-2</v>
      </c>
      <c r="F36" s="28">
        <f t="shared" si="0"/>
        <v>0.89891932083403447</v>
      </c>
      <c r="G36" s="166"/>
      <c r="H36" s="162"/>
      <c r="I36" s="163"/>
      <c r="J36" s="164"/>
      <c r="K36" s="157">
        <f>IFERROR(VLOOKUP(B36,'TD - CURVA S'!$G$3:$H$31,2,0),0)</f>
        <v>32314.053901611023</v>
      </c>
      <c r="L36" s="26">
        <f t="shared" si="10"/>
        <v>1361089.2330578337</v>
      </c>
      <c r="M36" s="27">
        <f t="shared" si="6"/>
        <v>2.1056610167345943E-2</v>
      </c>
      <c r="N36" s="28">
        <f t="shared" si="7"/>
        <v>0.88691828857913213</v>
      </c>
    </row>
    <row r="37" spans="1:14">
      <c r="A37" s="25"/>
      <c r="B37" s="25">
        <v>35</v>
      </c>
      <c r="C37" s="26">
        <f>IFERROR(VLOOKUP(B37,'TD - CURVA S'!$A$5:$B$44,2,0),0)</f>
        <v>46071.728853483786</v>
      </c>
      <c r="D37" s="26">
        <f t="shared" si="9"/>
        <v>1425578.0765407786</v>
      </c>
      <c r="E37" s="27">
        <f t="shared" si="2"/>
        <v>3.002144011881799E-2</v>
      </c>
      <c r="F37" s="28">
        <f t="shared" si="0"/>
        <v>0.92894076095285238</v>
      </c>
      <c r="G37" s="166"/>
      <c r="H37" s="162"/>
      <c r="I37" s="163"/>
      <c r="J37" s="164"/>
      <c r="K37" s="157">
        <f>IFERROR(VLOOKUP(B37,'TD - CURVA S'!$G$3:$H$31,2,0),0)</f>
        <v>49689.161573461031</v>
      </c>
      <c r="L37" s="26">
        <f t="shared" si="10"/>
        <v>1410778.3946312948</v>
      </c>
      <c r="M37" s="27">
        <f t="shared" si="6"/>
        <v>3.2378645773765702E-2</v>
      </c>
      <c r="N37" s="28">
        <f t="shared" si="7"/>
        <v>0.91929693435289783</v>
      </c>
    </row>
    <row r="38" spans="1:14">
      <c r="A38" s="25"/>
      <c r="B38" s="25">
        <v>36</v>
      </c>
      <c r="C38" s="26">
        <f>IFERROR(VLOOKUP(B38,'TD - CURVA S'!$A$5:$B$44,2,0),0)</f>
        <v>39207.966889578893</v>
      </c>
      <c r="D38" s="26">
        <f t="shared" si="9"/>
        <v>1464786.0434303575</v>
      </c>
      <c r="E38" s="27">
        <f t="shared" si="2"/>
        <v>2.5548848707184654E-2</v>
      </c>
      <c r="F38" s="28">
        <f t="shared" si="0"/>
        <v>0.95448960966003704</v>
      </c>
      <c r="G38" s="166"/>
      <c r="H38" s="162"/>
      <c r="I38" s="163"/>
      <c r="J38" s="164"/>
      <c r="K38" s="157">
        <f>IFERROR(VLOOKUP(B38,'TD - CURVA S'!$G$3:$H$31,2,0),0)</f>
        <v>43607.648799062677</v>
      </c>
      <c r="L38" s="26">
        <f t="shared" si="10"/>
        <v>1454386.0434303575</v>
      </c>
      <c r="M38" s="27">
        <f t="shared" si="6"/>
        <v>2.8415786637980937E-2</v>
      </c>
      <c r="N38" s="28">
        <f t="shared" si="7"/>
        <v>0.94771272099087878</v>
      </c>
    </row>
    <row r="39" spans="1:14">
      <c r="A39" s="25"/>
      <c r="B39" s="25">
        <v>37</v>
      </c>
      <c r="C39" s="26">
        <f>IFERROR(VLOOKUP(B39,'TD - CURVA S'!$A$5:$B$44,2,0),0)</f>
        <v>13171.943417578896</v>
      </c>
      <c r="D39" s="26">
        <f t="shared" si="9"/>
        <v>1477957.9868479364</v>
      </c>
      <c r="E39" s="27">
        <f t="shared" si="2"/>
        <v>8.5831532785946608E-3</v>
      </c>
      <c r="F39" s="28">
        <f t="shared" si="0"/>
        <v>0.96307276293863175</v>
      </c>
      <c r="G39" s="166"/>
      <c r="H39" s="162"/>
      <c r="I39" s="163"/>
      <c r="J39" s="164"/>
      <c r="K39" s="157">
        <f>IFERROR(VLOOKUP(B39,'TD - CURVA S'!$G$3:$H$31,2,0),0)</f>
        <v>23571.943417578896</v>
      </c>
      <c r="L39" s="26">
        <f t="shared" si="10"/>
        <v>1477957.9868479364</v>
      </c>
      <c r="M39" s="27">
        <f t="shared" si="6"/>
        <v>1.5360041947752947E-2</v>
      </c>
      <c r="N39" s="28">
        <f t="shared" si="7"/>
        <v>0.96307276293863175</v>
      </c>
    </row>
    <row r="40" spans="1:14">
      <c r="A40" s="25"/>
      <c r="B40" s="25">
        <v>38</v>
      </c>
      <c r="C40" s="26">
        <f>IFERROR(VLOOKUP(B40,'TD - CURVA S'!$A$5:$B$44,2,0),0)</f>
        <v>19960.05752010403</v>
      </c>
      <c r="D40" s="26">
        <f t="shared" ref="D40:D47" si="11">IF(F39=1,0,C40+D39)</f>
        <v>1497918.0443680405</v>
      </c>
      <c r="E40" s="27">
        <f t="shared" ref="E40:E47" si="12">C40/$C$48</f>
        <v>1.3006450734975059E-2</v>
      </c>
      <c r="F40" s="28">
        <f t="shared" ref="F40:F47" si="13">D40/$C$48</f>
        <v>0.97607921367360684</v>
      </c>
      <c r="G40" s="166"/>
      <c r="H40" s="162"/>
      <c r="I40" s="163"/>
      <c r="J40" s="164"/>
      <c r="K40" s="157">
        <f>IFERROR(VLOOKUP(B40,'TD - CURVA S'!$G$3:$H$31,2,0),0)</f>
        <v>19960.05752010403</v>
      </c>
      <c r="L40" s="26">
        <f t="shared" si="10"/>
        <v>1497918.0443680405</v>
      </c>
      <c r="M40" s="27">
        <f t="shared" si="6"/>
        <v>1.3006450734975059E-2</v>
      </c>
      <c r="N40" s="28">
        <f t="shared" si="7"/>
        <v>0.97607921367360684</v>
      </c>
    </row>
    <row r="41" spans="1:14">
      <c r="A41" s="25"/>
      <c r="B41" s="25">
        <v>39</v>
      </c>
      <c r="C41" s="26">
        <f>IFERROR(VLOOKUP(B41,'TD - CURVA S'!$A$5:$B$44,2,0),0)</f>
        <v>24147.417520104031</v>
      </c>
      <c r="D41" s="26">
        <f t="shared" si="11"/>
        <v>1522065.4618881445</v>
      </c>
      <c r="E41" s="27">
        <f t="shared" si="12"/>
        <v>1.5735034632829544E-2</v>
      </c>
      <c r="F41" s="28">
        <f t="shared" si="13"/>
        <v>0.99181424830643639</v>
      </c>
      <c r="G41" s="166"/>
      <c r="H41" s="162"/>
      <c r="I41" s="163"/>
      <c r="J41" s="164"/>
      <c r="K41" s="157">
        <f>IFERROR(VLOOKUP(B41,'TD - CURVA S'!$G$3:$H$31,2,0),0)</f>
        <v>23647.417520104031</v>
      </c>
      <c r="L41" s="26">
        <f t="shared" si="10"/>
        <v>1521565.4618881445</v>
      </c>
      <c r="M41" s="27">
        <f t="shared" si="6"/>
        <v>1.540922267758155E-2</v>
      </c>
      <c r="N41" s="28">
        <f t="shared" si="7"/>
        <v>0.99148843635118833</v>
      </c>
    </row>
    <row r="42" spans="1:14">
      <c r="A42" s="25"/>
      <c r="B42" s="25">
        <v>40</v>
      </c>
      <c r="C42" s="26">
        <f>IFERROR(VLOOKUP(B42,'TD - CURVA S'!$A$5:$B$44,2,0),0)</f>
        <v>4187.3599999999997</v>
      </c>
      <c r="D42" s="26">
        <f t="shared" si="11"/>
        <v>1526252.8218881446</v>
      </c>
      <c r="E42" s="27">
        <f t="shared" si="12"/>
        <v>2.728583897854484E-3</v>
      </c>
      <c r="F42" s="28">
        <f t="shared" si="13"/>
        <v>0.99454283220429085</v>
      </c>
      <c r="G42" s="166"/>
      <c r="H42" s="162"/>
      <c r="I42" s="163"/>
      <c r="J42" s="164"/>
      <c r="K42" s="157">
        <f>IFERROR(VLOOKUP(B42,'TD - CURVA S'!$G$3:$H$31,2,0),0)</f>
        <v>3687.3599999999997</v>
      </c>
      <c r="L42" s="26">
        <f t="shared" si="10"/>
        <v>1525252.8218881446</v>
      </c>
      <c r="M42" s="27">
        <f t="shared" si="6"/>
        <v>2.4027719426064896E-3</v>
      </c>
      <c r="N42" s="28">
        <f t="shared" si="7"/>
        <v>0.99389120829379496</v>
      </c>
    </row>
    <row r="43" spans="1:14">
      <c r="A43" s="25"/>
      <c r="B43" s="25">
        <v>41</v>
      </c>
      <c r="C43" s="26">
        <f>IFERROR(VLOOKUP(B43,'TD - CURVA S'!$A$5:$B$44,2,0),0)</f>
        <v>4187.3599999999997</v>
      </c>
      <c r="D43" s="26">
        <f t="shared" si="11"/>
        <v>1530440.1818881447</v>
      </c>
      <c r="E43" s="27">
        <f t="shared" si="12"/>
        <v>2.728583897854484E-3</v>
      </c>
      <c r="F43" s="28">
        <f t="shared" si="13"/>
        <v>0.99727141610214542</v>
      </c>
      <c r="G43" s="166"/>
      <c r="H43" s="162"/>
      <c r="I43" s="163"/>
      <c r="J43" s="164"/>
      <c r="K43" s="157">
        <f>IFERROR(VLOOKUP(B43,'TD - CURVA S'!$G$3:$H$31,2,0),0)</f>
        <v>4687.3599999999997</v>
      </c>
      <c r="L43" s="26">
        <f t="shared" si="10"/>
        <v>1529940.1818881447</v>
      </c>
      <c r="M43" s="27">
        <f t="shared" si="6"/>
        <v>3.0543958531024785E-3</v>
      </c>
      <c r="N43" s="28">
        <f t="shared" si="7"/>
        <v>0.99694560414689748</v>
      </c>
    </row>
    <row r="44" spans="1:14">
      <c r="A44" s="25"/>
      <c r="B44" s="25">
        <v>42</v>
      </c>
      <c r="C44" s="26">
        <f>IFERROR(VLOOKUP(B44,'TD - CURVA S'!$A$5:$B$44,2,0),0)</f>
        <v>4187.3599999999997</v>
      </c>
      <c r="D44" s="26">
        <f t="shared" si="11"/>
        <v>1534627.5418881448</v>
      </c>
      <c r="E44" s="27">
        <f t="shared" si="12"/>
        <v>2.728583897854484E-3</v>
      </c>
      <c r="F44" s="28">
        <f t="shared" si="13"/>
        <v>1</v>
      </c>
      <c r="G44" s="166"/>
      <c r="H44" s="162"/>
      <c r="I44" s="163"/>
      <c r="J44" s="164"/>
      <c r="K44" s="157">
        <f>IFERROR(VLOOKUP(B44,'TD - CURVA S'!$G$3:$H$31,2,0),0)</f>
        <v>4687.3599999999997</v>
      </c>
      <c r="L44" s="26">
        <f t="shared" si="10"/>
        <v>1534627.5418881448</v>
      </c>
      <c r="M44" s="27">
        <f t="shared" si="6"/>
        <v>3.0543958531024785E-3</v>
      </c>
      <c r="N44" s="28">
        <f t="shared" si="7"/>
        <v>1</v>
      </c>
    </row>
    <row r="45" spans="1:14">
      <c r="A45" s="25"/>
      <c r="B45" s="25">
        <v>43</v>
      </c>
      <c r="C45" s="26"/>
      <c r="D45" s="26"/>
      <c r="E45" s="27"/>
      <c r="F45" s="28"/>
      <c r="G45" s="156"/>
      <c r="H45" s="26"/>
      <c r="I45" s="27"/>
      <c r="J45" s="28"/>
      <c r="K45" s="157"/>
      <c r="L45" s="26"/>
      <c r="M45" s="27"/>
      <c r="N45" s="28"/>
    </row>
    <row r="46" spans="1:14">
      <c r="A46" s="25"/>
      <c r="B46" s="25">
        <v>44</v>
      </c>
      <c r="C46" s="26"/>
      <c r="D46" s="26"/>
      <c r="E46" s="27"/>
      <c r="F46" s="28"/>
      <c r="G46" s="156"/>
      <c r="H46" s="26"/>
      <c r="I46" s="27"/>
      <c r="J46" s="28"/>
      <c r="K46" s="157"/>
      <c r="L46" s="26"/>
      <c r="M46" s="27"/>
      <c r="N46" s="28"/>
    </row>
    <row r="47" spans="1:14">
      <c r="A47" s="25"/>
      <c r="B47" s="25">
        <v>45</v>
      </c>
      <c r="C47" s="26"/>
      <c r="D47" s="26"/>
      <c r="E47" s="27"/>
      <c r="F47" s="28"/>
      <c r="G47" s="156"/>
      <c r="H47" s="26"/>
      <c r="I47" s="27"/>
      <c r="J47" s="28"/>
      <c r="K47" s="157"/>
      <c r="L47" s="26"/>
      <c r="M47" s="27"/>
      <c r="N47" s="28"/>
    </row>
    <row r="48" spans="1:14">
      <c r="C48" s="30">
        <f>SUM(C3:C47)</f>
        <v>1534627.5418881448</v>
      </c>
    </row>
  </sheetData>
  <mergeCells count="3">
    <mergeCell ref="C1:F1"/>
    <mergeCell ref="G1:J1"/>
    <mergeCell ref="K1:N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049B-28FB-43E3-BEA5-FD35AF341B33}">
  <dimension ref="A1:F16"/>
  <sheetViews>
    <sheetView workbookViewId="0">
      <selection activeCell="F7" sqref="F7:F15"/>
    </sheetView>
  </sheetViews>
  <sheetFormatPr defaultRowHeight="15"/>
  <cols>
    <col min="1" max="1" width="18" bestFit="1" customWidth="1"/>
    <col min="2" max="2" width="15.85546875" style="5" bestFit="1" customWidth="1"/>
    <col min="5" max="5" width="18" bestFit="1" customWidth="1"/>
    <col min="6" max="6" width="15.140625" bestFit="1" customWidth="1"/>
  </cols>
  <sheetData>
    <row r="1" spans="1:6">
      <c r="A1" s="8" t="s">
        <v>3</v>
      </c>
      <c r="B1" t="s">
        <v>208</v>
      </c>
      <c r="E1" s="8" t="s">
        <v>3</v>
      </c>
      <c r="F1" t="s">
        <v>208</v>
      </c>
    </row>
    <row r="3" spans="1:6">
      <c r="A3" s="8" t="s">
        <v>206</v>
      </c>
      <c r="B3" t="s">
        <v>260</v>
      </c>
      <c r="E3" s="8" t="s">
        <v>206</v>
      </c>
      <c r="F3" t="s">
        <v>262</v>
      </c>
    </row>
    <row r="4" spans="1:6">
      <c r="A4" s="9" t="s">
        <v>248</v>
      </c>
      <c r="B4" s="10">
        <v>104237.57324312572</v>
      </c>
      <c r="E4" s="9" t="s">
        <v>248</v>
      </c>
      <c r="F4" s="10">
        <v>8415.1790105752934</v>
      </c>
    </row>
    <row r="5" spans="1:6">
      <c r="A5" s="36" t="s">
        <v>249</v>
      </c>
      <c r="B5" s="10">
        <v>46676.596421862632</v>
      </c>
      <c r="E5" s="35" t="s">
        <v>250</v>
      </c>
      <c r="F5" s="10">
        <v>8415.1790105752934</v>
      </c>
    </row>
    <row r="6" spans="1:6">
      <c r="A6" s="36" t="s">
        <v>250</v>
      </c>
      <c r="B6" s="10">
        <v>57560.976821263095</v>
      </c>
      <c r="E6" s="9" t="s">
        <v>251</v>
      </c>
      <c r="F6" s="10">
        <v>1027710.5852701141</v>
      </c>
    </row>
    <row r="7" spans="1:6">
      <c r="A7" s="37" t="s">
        <v>251</v>
      </c>
      <c r="B7" s="10">
        <v>394264.20436432929</v>
      </c>
      <c r="E7" s="35" t="s">
        <v>252</v>
      </c>
      <c r="F7" s="10">
        <v>151203.69828428308</v>
      </c>
    </row>
    <row r="8" spans="1:6">
      <c r="A8" s="38" t="s">
        <v>252</v>
      </c>
      <c r="B8" s="10">
        <v>94899.951807593854</v>
      </c>
      <c r="E8" s="35" t="s">
        <v>253</v>
      </c>
      <c r="F8" s="10">
        <v>246811.69520753541</v>
      </c>
    </row>
    <row r="9" spans="1:6">
      <c r="A9" s="38" t="s">
        <v>253</v>
      </c>
      <c r="B9" s="10">
        <v>53689.087222132446</v>
      </c>
      <c r="E9" s="35" t="s">
        <v>254</v>
      </c>
      <c r="F9" s="10">
        <v>228492.75621417604</v>
      </c>
    </row>
    <row r="10" spans="1:6">
      <c r="A10" s="38" t="s">
        <v>254</v>
      </c>
      <c r="B10" s="10">
        <v>62043.75551117296</v>
      </c>
      <c r="E10" s="35" t="s">
        <v>255</v>
      </c>
      <c r="F10" s="10">
        <v>72020.42959196103</v>
      </c>
    </row>
    <row r="11" spans="1:6">
      <c r="A11" s="38" t="s">
        <v>255</v>
      </c>
      <c r="B11" s="10">
        <v>47418.094010735971</v>
      </c>
      <c r="E11" s="35" t="s">
        <v>256</v>
      </c>
      <c r="F11" s="10">
        <v>57305.129960090475</v>
      </c>
    </row>
    <row r="12" spans="1:6">
      <c r="A12" s="38" t="s">
        <v>256</v>
      </c>
      <c r="B12" s="10">
        <v>39839.143561963145</v>
      </c>
      <c r="E12" s="35" t="s">
        <v>257</v>
      </c>
      <c r="F12" s="10">
        <v>78726.642286620656</v>
      </c>
    </row>
    <row r="13" spans="1:6">
      <c r="A13" s="38" t="s">
        <v>257</v>
      </c>
      <c r="B13" s="10">
        <v>59038.920542710526</v>
      </c>
      <c r="E13" s="35" t="s">
        <v>258</v>
      </c>
      <c r="F13" s="10">
        <v>85552.428744913515</v>
      </c>
    </row>
    <row r="14" spans="1:6">
      <c r="A14" s="38" t="s">
        <v>258</v>
      </c>
      <c r="B14" s="10">
        <v>22748.846124504489</v>
      </c>
      <c r="E14" s="35" t="s">
        <v>259</v>
      </c>
      <c r="F14" s="10">
        <v>105728.07351278716</v>
      </c>
    </row>
    <row r="15" spans="1:6">
      <c r="A15" s="38" t="s">
        <v>259</v>
      </c>
      <c r="B15" s="10">
        <v>14586.405583515916</v>
      </c>
      <c r="E15" s="35" t="s">
        <v>261</v>
      </c>
      <c r="F15" s="10">
        <v>1869.7314677466509</v>
      </c>
    </row>
    <row r="16" spans="1:6">
      <c r="A16" s="9" t="s">
        <v>203</v>
      </c>
      <c r="B16" s="10">
        <v>498501.77760745509</v>
      </c>
      <c r="E16" s="9" t="s">
        <v>203</v>
      </c>
      <c r="F16" s="10">
        <v>1036125.7642806893</v>
      </c>
    </row>
  </sheetData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0761-FFD1-484B-84BC-BB2C458AA147}">
  <dimension ref="D1:Q7"/>
  <sheetViews>
    <sheetView zoomScaleNormal="100" workbookViewId="0">
      <selection activeCell="N24" sqref="N24:O24"/>
    </sheetView>
  </sheetViews>
  <sheetFormatPr defaultRowHeight="15"/>
  <cols>
    <col min="4" max="4" width="18.140625" bestFit="1" customWidth="1"/>
    <col min="5" max="14" width="20.7109375" customWidth="1"/>
    <col min="15" max="15" width="22.28515625" customWidth="1"/>
  </cols>
  <sheetData>
    <row r="1" spans="4:17">
      <c r="D1" s="1" t="s">
        <v>266</v>
      </c>
    </row>
    <row r="2" spans="4:17">
      <c r="D2" s="12" t="s">
        <v>263</v>
      </c>
      <c r="E2" s="42">
        <v>44501</v>
      </c>
      <c r="F2" s="42">
        <v>44531</v>
      </c>
      <c r="G2" s="42">
        <v>44562</v>
      </c>
      <c r="H2" s="42">
        <v>44593</v>
      </c>
      <c r="I2" s="42">
        <v>44621</v>
      </c>
      <c r="J2" s="42">
        <v>44652</v>
      </c>
      <c r="K2" s="42">
        <v>44682</v>
      </c>
      <c r="L2" s="42">
        <v>44713</v>
      </c>
      <c r="M2" s="42">
        <v>44743</v>
      </c>
      <c r="N2" s="42">
        <v>44774</v>
      </c>
      <c r="O2" s="42">
        <v>44805</v>
      </c>
    </row>
    <row r="3" spans="4:17">
      <c r="D3" s="43" t="s">
        <v>264</v>
      </c>
      <c r="E3" s="5">
        <v>46676.596421862632</v>
      </c>
      <c r="F3" s="5">
        <v>57560.976821263095</v>
      </c>
      <c r="G3" s="66">
        <v>94899.951807593854</v>
      </c>
      <c r="H3" s="66">
        <v>53689.087222132446</v>
      </c>
      <c r="I3" s="66">
        <v>62043.75551117296</v>
      </c>
      <c r="J3" s="66">
        <v>47418.094010735971</v>
      </c>
      <c r="K3" s="66">
        <v>39839.143561963145</v>
      </c>
      <c r="L3" s="66">
        <v>59038.920542710526</v>
      </c>
      <c r="M3" s="66">
        <v>22748.846124504489</v>
      </c>
      <c r="N3" s="66">
        <v>14586.405583515916</v>
      </c>
      <c r="O3" s="44"/>
    </row>
    <row r="4" spans="4:17" ht="15.75" thickBot="1">
      <c r="D4" s="45" t="s">
        <v>265</v>
      </c>
      <c r="E4" s="46"/>
      <c r="F4" s="46">
        <v>8415.1790105752934</v>
      </c>
      <c r="G4" s="5">
        <v>151203.69828428308</v>
      </c>
      <c r="H4" s="5">
        <v>246811.69520753541</v>
      </c>
      <c r="I4" s="5">
        <v>228492.75621417604</v>
      </c>
      <c r="J4" s="5">
        <v>72020.42959196103</v>
      </c>
      <c r="K4" s="5">
        <v>57305.129960090475</v>
      </c>
      <c r="L4" s="5">
        <v>78726.642286620656</v>
      </c>
      <c r="M4" s="5">
        <v>85552.428744913515</v>
      </c>
      <c r="N4" s="5">
        <v>105728.07351278716</v>
      </c>
      <c r="O4" s="5">
        <v>1869.7314677466509</v>
      </c>
    </row>
    <row r="5" spans="4:17" ht="15.75" thickBot="1">
      <c r="D5" s="39" t="s">
        <v>187</v>
      </c>
      <c r="E5" s="40">
        <f t="shared" ref="E5:O5" si="0">E4+E3</f>
        <v>46676.596421862632</v>
      </c>
      <c r="F5" s="40">
        <f t="shared" si="0"/>
        <v>65976.15583183839</v>
      </c>
      <c r="G5" s="40">
        <f t="shared" si="0"/>
        <v>246103.65009187692</v>
      </c>
      <c r="H5" s="40">
        <f t="shared" si="0"/>
        <v>300500.78242966783</v>
      </c>
      <c r="I5" s="40">
        <f t="shared" si="0"/>
        <v>290536.511725349</v>
      </c>
      <c r="J5" s="40">
        <f t="shared" si="0"/>
        <v>119438.52360269701</v>
      </c>
      <c r="K5" s="40">
        <f t="shared" si="0"/>
        <v>97144.273522053612</v>
      </c>
      <c r="L5" s="40">
        <f t="shared" si="0"/>
        <v>137765.56282933117</v>
      </c>
      <c r="M5" s="40">
        <f t="shared" si="0"/>
        <v>108301.274869418</v>
      </c>
      <c r="N5" s="40">
        <f t="shared" si="0"/>
        <v>120314.47909630308</v>
      </c>
      <c r="O5" s="41">
        <f t="shared" si="0"/>
        <v>1869.7314677466509</v>
      </c>
      <c r="Q5" t="s">
        <v>285</v>
      </c>
    </row>
    <row r="6" spans="4:17" ht="15.75" thickBot="1">
      <c r="Q6" t="s">
        <v>286</v>
      </c>
    </row>
    <row r="7" spans="4:17" ht="15.75" thickBot="1">
      <c r="Q7" s="67" t="s">
        <v>283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SEMANAS</vt:lpstr>
      <vt:lpstr>CUSTO ATIVIDADE</vt:lpstr>
      <vt:lpstr>REPLAN</vt:lpstr>
      <vt:lpstr>BANCO DE DADOS</vt:lpstr>
      <vt:lpstr>MT-MO</vt:lpstr>
      <vt:lpstr>TD - CURVA S</vt:lpstr>
      <vt:lpstr>CURVA S</vt:lpstr>
      <vt:lpstr>TD - FC</vt:lpstr>
      <vt:lpstr>FC - EDIFICAÇÃO</vt:lpstr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2021-12-06T17:07:53Z</dcterms:created>
  <dcterms:modified xsi:type="dcterms:W3CDTF">2021-12-13T20:51:30Z</dcterms:modified>
</cp:coreProperties>
</file>